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amyfo\OneDrive\Documents\NewtonPTO\"/>
    </mc:Choice>
  </mc:AlternateContent>
  <xr:revisionPtr revIDLastSave="0" documentId="13_ncr:1_{A8BCFAA2-FB20-42B7-8723-ED2A2E7FB8FE}" xr6:coauthVersionLast="47" xr6:coauthVersionMax="47" xr10:uidLastSave="{00000000-0000-0000-0000-000000000000}"/>
  <bookViews>
    <workbookView xWindow="7210" yWindow="650" windowWidth="29180" windowHeight="20210" tabRatio="500" firstSheet="2" activeTab="2" xr2:uid="{00000000-000D-0000-FFFF-FFFF00000000}"/>
  </bookViews>
  <sheets>
    <sheet name="25-26 Budget &amp; Spending" sheetId="11" state="hidden" r:id="rId1"/>
    <sheet name="25-26 Accounting" sheetId="12" state="hidden" r:id="rId2"/>
    <sheet name="24-25 Budget &amp; Spending" sheetId="8" r:id="rId3"/>
    <sheet name="24-25 Accounting" sheetId="6" r:id="rId4"/>
    <sheet name="23-24 Budget &amp; Spending" sheetId="7" state="hidden" r:id="rId5"/>
    <sheet name="23-24 Accounting" sheetId="1" state="hidden" r:id="rId6"/>
    <sheet name="990 Reference" sheetId="10" state="hidden" r:id="rId7"/>
  </sheets>
  <definedNames>
    <definedName name="_xlnm._FilterDatabase" localSheetId="5" hidden="1">'23-24 Accounting'!$H$5:$H$36</definedName>
    <definedName name="_xlnm._FilterDatabase" localSheetId="3" hidden="1">'24-25 Accounting'!$K$4:$K$29</definedName>
    <definedName name="_xlnm._FilterDatabase" localSheetId="1" hidden="1">'25-26 Accounting'!$K$4:$K$34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6" l="1"/>
  <c r="H4" i="6"/>
  <c r="H5" i="6"/>
  <c r="H6" i="6"/>
  <c r="H7" i="6"/>
  <c r="H9" i="6"/>
  <c r="H10" i="6"/>
  <c r="H11" i="6"/>
  <c r="H12" i="6"/>
  <c r="H13" i="6"/>
  <c r="H14" i="6"/>
  <c r="H15" i="6"/>
  <c r="H16" i="6"/>
  <c r="H17" i="6"/>
  <c r="H18" i="6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3" i="6"/>
  <c r="L20" i="8"/>
  <c r="L19" i="8"/>
  <c r="D6" i="8"/>
  <c r="C15" i="8"/>
  <c r="C21" i="8"/>
  <c r="C25" i="8"/>
  <c r="D33" i="8"/>
  <c r="D30" i="8"/>
  <c r="L26" i="8"/>
  <c r="E4" i="6"/>
  <c r="E3" i="6"/>
  <c r="D32" i="8"/>
  <c r="D31" i="8"/>
  <c r="J35" i="6"/>
  <c r="E43" i="6"/>
  <c r="E44" i="6"/>
  <c r="E45" i="6"/>
  <c r="E46" i="6"/>
  <c r="D5" i="8"/>
  <c r="D7" i="8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9" i="6"/>
  <c r="E40" i="6"/>
  <c r="E41" i="6"/>
  <c r="E42" i="6"/>
  <c r="E37" i="6"/>
  <c r="E38" i="6"/>
  <c r="C6" i="8"/>
  <c r="C13" i="8" s="1"/>
  <c r="D24" i="8"/>
  <c r="D29" i="8"/>
  <c r="H25" i="11"/>
  <c r="D41" i="11"/>
  <c r="D39" i="11"/>
  <c r="D40" i="11"/>
  <c r="D42" i="11"/>
  <c r="D37" i="11"/>
  <c r="D36" i="11"/>
  <c r="D35" i="11"/>
  <c r="D30" i="11"/>
  <c r="D31" i="11"/>
  <c r="D32" i="11"/>
  <c r="D33" i="11"/>
  <c r="D29" i="11"/>
  <c r="D27" i="11"/>
  <c r="D26" i="11"/>
  <c r="D25" i="11"/>
  <c r="E24" i="11" s="1"/>
  <c r="D17" i="11"/>
  <c r="L16" i="11" s="1"/>
  <c r="D16" i="11"/>
  <c r="L24" i="11" s="1"/>
  <c r="D18" i="11"/>
  <c r="D19" i="11"/>
  <c r="L18" i="11" s="1"/>
  <c r="D20" i="11"/>
  <c r="L17" i="11" s="1"/>
  <c r="D21" i="11"/>
  <c r="L20" i="11" s="1"/>
  <c r="D22" i="11"/>
  <c r="L19" i="11" s="1"/>
  <c r="D23" i="11"/>
  <c r="D5" i="11"/>
  <c r="E5" i="11" s="1"/>
  <c r="D7" i="11"/>
  <c r="D8" i="11"/>
  <c r="H13" i="11" s="1"/>
  <c r="D9" i="11"/>
  <c r="H11" i="11" s="1"/>
  <c r="D10" i="11"/>
  <c r="H12" i="11" s="1"/>
  <c r="D11" i="11"/>
  <c r="D12" i="11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4" i="12"/>
  <c r="E3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J37" i="12"/>
  <c r="E38" i="12"/>
  <c r="H3" i="12"/>
  <c r="H4" i="12" s="1"/>
  <c r="H5" i="12" s="1"/>
  <c r="H6" i="12" s="1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C38" i="11"/>
  <c r="C34" i="11"/>
  <c r="C28" i="11"/>
  <c r="L26" i="11"/>
  <c r="C24" i="11"/>
  <c r="C15" i="11"/>
  <c r="L9" i="11"/>
  <c r="L7" i="11"/>
  <c r="C6" i="11"/>
  <c r="C13" i="11" s="1"/>
  <c r="D7" i="7"/>
  <c r="D8" i="7"/>
  <c r="D19" i="8"/>
  <c r="D23" i="8"/>
  <c r="C33" i="8"/>
  <c r="C30" i="8"/>
  <c r="D12" i="8"/>
  <c r="L7" i="8" s="1"/>
  <c r="L9" i="8"/>
  <c r="H10" i="8" l="1"/>
  <c r="H15" i="8"/>
  <c r="D6" i="11"/>
  <c r="C43" i="11"/>
  <c r="H5" i="11" s="1"/>
  <c r="L6" i="11"/>
  <c r="H9" i="11"/>
  <c r="D38" i="11"/>
  <c r="E38" i="11" s="1"/>
  <c r="D34" i="11"/>
  <c r="L15" i="11" s="1"/>
  <c r="H19" i="11"/>
  <c r="D28" i="11"/>
  <c r="L11" i="11"/>
  <c r="D13" i="11"/>
  <c r="H38" i="12"/>
  <c r="H39" i="12" s="1"/>
  <c r="H40" i="12" s="1"/>
  <c r="H41" i="12" s="1"/>
  <c r="H42" i="12" s="1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H70" i="12" s="1"/>
  <c r="H71" i="12" s="1"/>
  <c r="H72" i="12" s="1"/>
  <c r="H73" i="12" s="1"/>
  <c r="H74" i="12" s="1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H100" i="12" s="1"/>
  <c r="H101" i="12" s="1"/>
  <c r="H102" i="12" s="1"/>
  <c r="H103" i="12" s="1"/>
  <c r="H104" i="12" s="1"/>
  <c r="H105" i="12" s="1"/>
  <c r="H106" i="12" s="1"/>
  <c r="H107" i="12" s="1"/>
  <c r="H108" i="12" s="1"/>
  <c r="H109" i="12" s="1"/>
  <c r="H110" i="12" s="1"/>
  <c r="H111" i="12" s="1"/>
  <c r="H112" i="12" s="1"/>
  <c r="H113" i="12" s="1"/>
  <c r="H114" i="12" s="1"/>
  <c r="H115" i="12" s="1"/>
  <c r="H116" i="12" s="1"/>
  <c r="H117" i="12" s="1"/>
  <c r="H118" i="12" s="1"/>
  <c r="H119" i="12" s="1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H131" i="12" s="1"/>
  <c r="H132" i="12" s="1"/>
  <c r="H133" i="12" s="1"/>
  <c r="H134" i="12" s="1"/>
  <c r="H135" i="12" s="1"/>
  <c r="H136" i="12" s="1"/>
  <c r="H137" i="12" s="1"/>
  <c r="H138" i="12" s="1"/>
  <c r="H139" i="12" s="1"/>
  <c r="H140" i="12" s="1"/>
  <c r="H141" i="12" s="1"/>
  <c r="H142" i="12" s="1"/>
  <c r="H143" i="12" s="1"/>
  <c r="H144" i="12" s="1"/>
  <c r="H145" i="12" s="1"/>
  <c r="H146" i="12" s="1"/>
  <c r="H147" i="12" s="1"/>
  <c r="H148" i="12" s="1"/>
  <c r="H149" i="12" s="1"/>
  <c r="H150" i="12" s="1"/>
  <c r="H151" i="12" s="1"/>
  <c r="H152" i="12" s="1"/>
  <c r="H153" i="12" s="1"/>
  <c r="H154" i="12" s="1"/>
  <c r="H155" i="12" s="1"/>
  <c r="H156" i="12" s="1"/>
  <c r="H157" i="12" s="1"/>
  <c r="H158" i="12" s="1"/>
  <c r="H159" i="12" s="1"/>
  <c r="H160" i="12" s="1"/>
  <c r="H161" i="12" s="1"/>
  <c r="H17" i="11"/>
  <c r="E28" i="11"/>
  <c r="D15" i="11"/>
  <c r="D24" i="11"/>
  <c r="H10" i="11"/>
  <c r="D20" i="8"/>
  <c r="H27" i="8"/>
  <c r="D18" i="8"/>
  <c r="L17" i="8" s="1"/>
  <c r="D11" i="8"/>
  <c r="H14" i="8" s="1"/>
  <c r="D27" i="8"/>
  <c r="J57" i="1"/>
  <c r="C71" i="1"/>
  <c r="J53" i="1"/>
  <c r="C67" i="1"/>
  <c r="J45" i="1"/>
  <c r="C54" i="1"/>
  <c r="C55" i="1"/>
  <c r="J36" i="1"/>
  <c r="J40" i="1"/>
  <c r="C11" i="1"/>
  <c r="C12" i="1"/>
  <c r="C5" i="1"/>
  <c r="C14" i="7"/>
  <c r="C6" i="7"/>
  <c r="C12" i="7" s="1"/>
  <c r="E34" i="11" l="1"/>
  <c r="L5" i="11"/>
  <c r="H20" i="11"/>
  <c r="E6" i="11"/>
  <c r="E13" i="11"/>
  <c r="M5" i="11"/>
  <c r="H14" i="11"/>
  <c r="I10" i="11" s="1"/>
  <c r="L14" i="11"/>
  <c r="L13" i="11" s="1"/>
  <c r="H16" i="11"/>
  <c r="E15" i="11"/>
  <c r="D43" i="11"/>
  <c r="H26" i="11" s="1"/>
  <c r="H18" i="11"/>
  <c r="C38" i="8"/>
  <c r="C23" i="7"/>
  <c r="D35" i="8"/>
  <c r="D36" i="8"/>
  <c r="D37" i="8"/>
  <c r="D34" i="8"/>
  <c r="D28" i="8"/>
  <c r="D26" i="8"/>
  <c r="D22" i="8"/>
  <c r="D21" i="8" s="1"/>
  <c r="D16" i="8"/>
  <c r="D17" i="8"/>
  <c r="L18" i="8" s="1"/>
  <c r="D8" i="8"/>
  <c r="D9" i="8"/>
  <c r="H12" i="8" s="1"/>
  <c r="D10" i="8"/>
  <c r="H9" i="8"/>
  <c r="C87" i="1"/>
  <c r="C88" i="1"/>
  <c r="D38" i="7"/>
  <c r="D39" i="7"/>
  <c r="D37" i="7"/>
  <c r="D25" i="7"/>
  <c r="D34" i="7"/>
  <c r="D35" i="7"/>
  <c r="D33" i="7"/>
  <c r="D28" i="7"/>
  <c r="D29" i="7"/>
  <c r="D30" i="7"/>
  <c r="D31" i="7"/>
  <c r="D27" i="7"/>
  <c r="D24" i="7"/>
  <c r="D16" i="7"/>
  <c r="D17" i="7"/>
  <c r="D18" i="7"/>
  <c r="D19" i="7"/>
  <c r="D20" i="7"/>
  <c r="D21" i="7"/>
  <c r="D22" i="7"/>
  <c r="D15" i="7"/>
  <c r="H13" i="7"/>
  <c r="D10" i="7"/>
  <c r="D11" i="7"/>
  <c r="D5" i="7"/>
  <c r="D13" i="8" l="1"/>
  <c r="H5" i="8" s="1"/>
  <c r="H11" i="8"/>
  <c r="L6" i="8"/>
  <c r="H13" i="8"/>
  <c r="L16" i="8"/>
  <c r="D15" i="8"/>
  <c r="L15" i="8"/>
  <c r="D25" i="8"/>
  <c r="E5" i="8"/>
  <c r="L11" i="8"/>
  <c r="L14" i="8"/>
  <c r="E25" i="8"/>
  <c r="E15" i="8"/>
  <c r="I12" i="11"/>
  <c r="I13" i="11"/>
  <c r="I11" i="11"/>
  <c r="I9" i="11"/>
  <c r="M6" i="11"/>
  <c r="E43" i="11"/>
  <c r="M13" i="11"/>
  <c r="M14" i="11" s="1"/>
  <c r="H21" i="11"/>
  <c r="H12" i="7"/>
  <c r="H11" i="7"/>
  <c r="H9" i="7"/>
  <c r="D6" i="7"/>
  <c r="D12" i="7" s="1"/>
  <c r="H10" i="7"/>
  <c r="D14" i="7"/>
  <c r="D23" i="7"/>
  <c r="H16" i="7" s="1"/>
  <c r="L5" i="8" l="1"/>
  <c r="E33" i="8"/>
  <c r="E6" i="8"/>
  <c r="E30" i="8"/>
  <c r="L13" i="8"/>
  <c r="E21" i="8"/>
  <c r="H18" i="8"/>
  <c r="M5" i="8"/>
  <c r="I17" i="11"/>
  <c r="I19" i="11"/>
  <c r="I16" i="11"/>
  <c r="I18" i="11"/>
  <c r="I20" i="11"/>
  <c r="L27" i="11"/>
  <c r="M27" i="11" s="1"/>
  <c r="G5" i="11"/>
  <c r="H16" i="8"/>
  <c r="I12" i="8" s="1"/>
  <c r="H22" i="8"/>
  <c r="H19" i="7"/>
  <c r="D38" i="8"/>
  <c r="M13" i="8" s="1"/>
  <c r="E13" i="8"/>
  <c r="H21" i="8"/>
  <c r="H19" i="8"/>
  <c r="H20" i="8"/>
  <c r="C85" i="1"/>
  <c r="C84" i="1"/>
  <c r="C81" i="1"/>
  <c r="C82" i="1"/>
  <c r="C83" i="1"/>
  <c r="C80" i="1"/>
  <c r="C78" i="1"/>
  <c r="C79" i="1"/>
  <c r="C77" i="1"/>
  <c r="C76" i="1"/>
  <c r="C73" i="1"/>
  <c r="C74" i="1"/>
  <c r="C75" i="1"/>
  <c r="C70" i="1"/>
  <c r="C72" i="1"/>
  <c r="C69" i="1"/>
  <c r="C68" i="1"/>
  <c r="C65" i="1"/>
  <c r="C66" i="1"/>
  <c r="C64" i="1"/>
  <c r="C63" i="1"/>
  <c r="C62" i="1"/>
  <c r="C60" i="1"/>
  <c r="C61" i="1"/>
  <c r="C59" i="1"/>
  <c r="C58" i="1"/>
  <c r="C57" i="1"/>
  <c r="C56" i="1"/>
  <c r="C53" i="1"/>
  <c r="C52" i="1"/>
  <c r="C51" i="1"/>
  <c r="C50" i="1"/>
  <c r="C49" i="1"/>
  <c r="C48" i="1"/>
  <c r="C46" i="1"/>
  <c r="C47" i="1"/>
  <c r="C45" i="1"/>
  <c r="C44" i="1"/>
  <c r="C42" i="1"/>
  <c r="C43" i="1"/>
  <c r="C41" i="1"/>
  <c r="C39" i="1"/>
  <c r="C40" i="1"/>
  <c r="C37" i="1"/>
  <c r="C38" i="1"/>
  <c r="C36" i="1"/>
  <c r="C35" i="1"/>
  <c r="C33" i="1"/>
  <c r="C34" i="1"/>
  <c r="C32" i="1"/>
  <c r="C31" i="1"/>
  <c r="C28" i="1"/>
  <c r="C29" i="1"/>
  <c r="C30" i="1"/>
  <c r="C26" i="1"/>
  <c r="C27" i="1"/>
  <c r="C25" i="1"/>
  <c r="C24" i="1"/>
  <c r="C21" i="1"/>
  <c r="C22" i="1"/>
  <c r="C23" i="1"/>
  <c r="C17" i="1"/>
  <c r="C18" i="1"/>
  <c r="C19" i="1"/>
  <c r="C20" i="1"/>
  <c r="C15" i="1"/>
  <c r="C16" i="1"/>
  <c r="C14" i="1"/>
  <c r="C13" i="1"/>
  <c r="C9" i="1"/>
  <c r="C10" i="1"/>
  <c r="C8" i="1"/>
  <c r="C7" i="1"/>
  <c r="C6" i="1"/>
  <c r="C3" i="1"/>
  <c r="C4" i="1"/>
  <c r="C2" i="1"/>
  <c r="C86" i="1"/>
  <c r="D36" i="7"/>
  <c r="C36" i="7"/>
  <c r="D32" i="7"/>
  <c r="H18" i="7" s="1"/>
  <c r="C32" i="7"/>
  <c r="D26" i="7"/>
  <c r="H17" i="7" s="1"/>
  <c r="C26" i="7"/>
  <c r="E23" i="7"/>
  <c r="G5" i="7"/>
  <c r="E5" i="7"/>
  <c r="M6" i="8" l="1"/>
  <c r="M14" i="8"/>
  <c r="E38" i="8"/>
  <c r="I9" i="8"/>
  <c r="I15" i="8"/>
  <c r="I10" i="8"/>
  <c r="I11" i="8"/>
  <c r="D41" i="7"/>
  <c r="C41" i="7"/>
  <c r="E6" i="7"/>
  <c r="H14" i="7"/>
  <c r="H23" i="8"/>
  <c r="I22" i="8" s="1"/>
  <c r="E36" i="7"/>
  <c r="H20" i="7"/>
  <c r="E26" i="7"/>
  <c r="E32" i="7"/>
  <c r="E14" i="7"/>
  <c r="E12" i="7"/>
  <c r="I20" i="8" l="1"/>
  <c r="E41" i="7"/>
  <c r="I10" i="7"/>
  <c r="I9" i="7"/>
  <c r="I21" i="8"/>
  <c r="I19" i="8"/>
  <c r="I18" i="8"/>
  <c r="H21" i="7"/>
  <c r="I12" i="7"/>
  <c r="I13" i="7"/>
  <c r="I11" i="7"/>
  <c r="I18" i="7" l="1"/>
  <c r="I17" i="7"/>
  <c r="I20" i="7"/>
  <c r="I16" i="7"/>
  <c r="I19" i="7"/>
  <c r="H28" i="8" l="1"/>
  <c r="L27" i="8" l="1"/>
  <c r="M27" i="8" s="1"/>
  <c r="G5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<sst xmlns="http://schemas.openxmlformats.org/spreadsheetml/2006/main" count="931" uniqueCount="274">
  <si>
    <t>Date</t>
  </si>
  <si>
    <t>Category</t>
  </si>
  <si>
    <t>Total</t>
  </si>
  <si>
    <t/>
  </si>
  <si>
    <t>Checking Balance</t>
  </si>
  <si>
    <t>Annual Fund</t>
  </si>
  <si>
    <t>PTO Operating</t>
  </si>
  <si>
    <t>Teacher Supply Fund</t>
  </si>
  <si>
    <t>Staff Appreciation</t>
  </si>
  <si>
    <t>Website Maintenance</t>
  </si>
  <si>
    <t>Membership Toolkit</t>
  </si>
  <si>
    <t>INCOME</t>
  </si>
  <si>
    <t>Shred A Thon</t>
  </si>
  <si>
    <t>Restaurant</t>
  </si>
  <si>
    <t>King Soopers</t>
  </si>
  <si>
    <t>Total Income</t>
  </si>
  <si>
    <t>EXPENSES</t>
  </si>
  <si>
    <t>PTO Operating Expenses</t>
  </si>
  <si>
    <t>QuickBooks (Administrative)</t>
  </si>
  <si>
    <t>Bank Charges and Supplies</t>
  </si>
  <si>
    <t>Tax Preparation</t>
  </si>
  <si>
    <t>Tax Withholding</t>
  </si>
  <si>
    <t>Newton Initiatives</t>
  </si>
  <si>
    <t>Newton Teacher Grants</t>
  </si>
  <si>
    <t>Read n Quiz for Newton</t>
  </si>
  <si>
    <t>Code Cart</t>
  </si>
  <si>
    <t>Holiday Hand Up Gift Cards</t>
  </si>
  <si>
    <t>Retirement Celebration</t>
  </si>
  <si>
    <t>District Level Contributions</t>
  </si>
  <si>
    <t>Options Secondary School</t>
  </si>
  <si>
    <t>LPS Foundation Spirit Basket</t>
  </si>
  <si>
    <t>LPSF Stride</t>
  </si>
  <si>
    <t>cancelled</t>
  </si>
  <si>
    <t>Saving Balance</t>
  </si>
  <si>
    <t>Total Expenses</t>
  </si>
  <si>
    <t>Miscellaneous Income</t>
  </si>
  <si>
    <t>LPTO Scholarship</t>
  </si>
  <si>
    <t>Student Needs fund</t>
  </si>
  <si>
    <t>% of Proposed</t>
  </si>
  <si>
    <t>Student Activity</t>
  </si>
  <si>
    <t>*with $7500 witholding</t>
  </si>
  <si>
    <t>Nova Center</t>
  </si>
  <si>
    <t>Student Activity Fund</t>
  </si>
  <si>
    <t>QuickBooks (license)</t>
  </si>
  <si>
    <t>Income</t>
  </si>
  <si>
    <t>Miscellaneous</t>
  </si>
  <si>
    <t>District</t>
  </si>
  <si>
    <t>Operating</t>
  </si>
  <si>
    <t>Total Expense</t>
  </si>
  <si>
    <t>Restaurant Night</t>
  </si>
  <si>
    <t xml:space="preserve">Teacher  </t>
  </si>
  <si>
    <t>Student</t>
  </si>
  <si>
    <t>Student Services</t>
  </si>
  <si>
    <t>Teacher Appreciation</t>
  </si>
  <si>
    <t>PTO Expenses</t>
  </si>
  <si>
    <t>Staff Appreciation*</t>
  </si>
  <si>
    <t>Comments*</t>
  </si>
  <si>
    <t>Nova Center*</t>
  </si>
  <si>
    <t>Newton PTO 2023-2024 Accounting</t>
  </si>
  <si>
    <t>the Nova Center</t>
  </si>
  <si>
    <t xml:space="preserve">The Newton PTO is now including </t>
  </si>
  <si>
    <t>Holiday Hand Up Gift Cards*</t>
  </si>
  <si>
    <t>Holiday Gift Cards</t>
  </si>
  <si>
    <t>Many parents directly donated</t>
  </si>
  <si>
    <t>Fidelity Bonds (required insurance per LPS)</t>
  </si>
  <si>
    <t>Top-level</t>
  </si>
  <si>
    <t xml:space="preserve">Teacher </t>
  </si>
  <si>
    <t>Withdrawal Draft Clearing  #5127</t>
  </si>
  <si>
    <t>Withdrawal Draft Clearing  #5115</t>
  </si>
  <si>
    <t>Withdrawal Draft Clearing  #5110</t>
  </si>
  <si>
    <t>Withdrawal Draft Clearing  #5126</t>
  </si>
  <si>
    <t>Withdrawal Draft Clearing  #5120</t>
  </si>
  <si>
    <t>Withdrawal Draft Clearing  #5118</t>
  </si>
  <si>
    <t>Withdrawal Draft Clearing  #5124</t>
  </si>
  <si>
    <t>Withdrawal Draft Clearing  #5122</t>
  </si>
  <si>
    <t>Withdrawal Draft Clearing  #5125</t>
  </si>
  <si>
    <t>Withdrawal Draft Clearing  #5119</t>
  </si>
  <si>
    <t>Withdrawal Draft Clearing  #5116</t>
  </si>
  <si>
    <t>Withdrawal Draft Clearing  #5109</t>
  </si>
  <si>
    <t>Withdrawal Draft Clearing  #5114</t>
  </si>
  <si>
    <t>Withdrawal Draft Clearing  #5113</t>
  </si>
  <si>
    <t>Withdrawal Draft Clearing  #5112</t>
  </si>
  <si>
    <t xml:space="preserve">Deposit Check </t>
  </si>
  <si>
    <t>Withdrawal Draft Clearing  #5111</t>
  </si>
  <si>
    <t>Deposit Cash Shred-a-thon Cash Deposit</t>
  </si>
  <si>
    <t>Withdrawal ACH INTUIT **QBooks Onl*8077110</t>
  </si>
  <si>
    <t>Withdrawal Draft Clearing  #5108</t>
  </si>
  <si>
    <t xml:space="preserve">Deposit Cash </t>
  </si>
  <si>
    <t>Withdrawal Draft Clearing  #5107</t>
  </si>
  <si>
    <t>Withdrawal Draft Clearing  #5102</t>
  </si>
  <si>
    <t>Withdrawal Draft Clearing  #5097</t>
  </si>
  <si>
    <t>Withdrawal Draft Clearing  #5106</t>
  </si>
  <si>
    <t>Withdrawal Draft Clearing  #5104</t>
  </si>
  <si>
    <t>Withdrawal ACH MEMBERSHIPTOOLKI*WEBPAYMENT</t>
  </si>
  <si>
    <t>Withdrawal Draft Clearing  #5098</t>
  </si>
  <si>
    <t>Withdrawal Draft Clearing  #5099</t>
  </si>
  <si>
    <t>Withdrawal Draft Clearing  #5101</t>
  </si>
  <si>
    <t>Withdrawal Draft Clearing  #5092</t>
  </si>
  <si>
    <t>Withdrawal Draft Clearing  #5096</t>
  </si>
  <si>
    <t>Withdrawal Draft Clearing  #5100</t>
  </si>
  <si>
    <t>Withdrawal Draft Clearing  #5094</t>
  </si>
  <si>
    <t>Withdrawal Draft Clearing  #5093</t>
  </si>
  <si>
    <t>Withdrawal Draft Clearing  #5091</t>
  </si>
  <si>
    <t>Withdrawal Draft Clearing  #5062</t>
  </si>
  <si>
    <t>Withdrawal Draft Clearing  #5089</t>
  </si>
  <si>
    <t>Withdrawal Draft Clearing  #5090</t>
  </si>
  <si>
    <t>Withdrawal Draft Clearing  #5095</t>
  </si>
  <si>
    <t>Withdrawal Draft Clearing  #5888</t>
  </si>
  <si>
    <t>Withdrawal Draft Clearing  #5084</t>
  </si>
  <si>
    <t>Withdrawal Draft Clearing  #5080</t>
  </si>
  <si>
    <t>Withdrawal Draft Clearing  #5067</t>
  </si>
  <si>
    <t>Withdrawal Draft Clearing  #5065</t>
  </si>
  <si>
    <t>Withdrawal Draft Clearing  #5087</t>
  </si>
  <si>
    <t>Withdrawal Draft Clearing  #5081</t>
  </si>
  <si>
    <t>Withdrawal Draft Clearing  #5086</t>
  </si>
  <si>
    <t>Withdrawal Draft Clearing  #5083</t>
  </si>
  <si>
    <t>Withdrawal Draft Clearing  #5069</t>
  </si>
  <si>
    <t>Withdrawal Draft Clearing  #5085</t>
  </si>
  <si>
    <t>Withdrawal Draft Clearing  #75078</t>
  </si>
  <si>
    <t>Withdrawal Draft Clearing  #5076</t>
  </si>
  <si>
    <t>Withdrawal Draft Clearing  #5066</t>
  </si>
  <si>
    <t>Withdrawal Draft Clearing  #5060</t>
  </si>
  <si>
    <t>Withdrawal Draft Clearing  #5072</t>
  </si>
  <si>
    <t>Withdrawal Draft Clearing  #5063</t>
  </si>
  <si>
    <t>Deposit ACH PAYPAL*TRANSFER</t>
  </si>
  <si>
    <t>Withdrawal Draft Clearing  #5074</t>
  </si>
  <si>
    <t>Withdrawal Draft Clearing  #5073</t>
  </si>
  <si>
    <t>Withdrawal Draft Clearing  #5068</t>
  </si>
  <si>
    <t>Withdrawal Draft Clearing  #5064</t>
  </si>
  <si>
    <t>Withdrawal Draft Clearing  #5070</t>
  </si>
  <si>
    <t>Withdrawal Draft Clearing  #5071</t>
  </si>
  <si>
    <t>Withdrawal Draft Clearing  #5061</t>
  </si>
  <si>
    <t>Adjustment  Tfr to PTO from Arapahoe CU donations</t>
  </si>
  <si>
    <t>Withdrawal Draft Clearing  #5058</t>
  </si>
  <si>
    <t>Withdrawal Draft Clearing  #5057</t>
  </si>
  <si>
    <t>Withdrawal Draft Clearing  #5056</t>
  </si>
  <si>
    <t>Withdrawal Draft Clearing  #5055</t>
  </si>
  <si>
    <t>Description</t>
  </si>
  <si>
    <t>Student Needs fund*</t>
  </si>
  <si>
    <t>Student Needs</t>
  </si>
  <si>
    <t>Gave extra due to surplus</t>
  </si>
  <si>
    <t>LPS Foundation Spirit Basket*</t>
  </si>
  <si>
    <t>Withdrawal Draft Clearing #5123</t>
  </si>
  <si>
    <t>Withdrawal Draft Clearing #5128</t>
  </si>
  <si>
    <t>Newton PTO 2024-2025 Accounting</t>
  </si>
  <si>
    <t>Other Fundraisers</t>
  </si>
  <si>
    <t>Spirit Basket</t>
  </si>
  <si>
    <t>Is someone owed a reimbursement?</t>
  </si>
  <si>
    <t>Principal's Initiative (Computer Lab)</t>
  </si>
  <si>
    <t>Computer Lab</t>
  </si>
  <si>
    <t>STEM Lab</t>
  </si>
  <si>
    <t>Amount</t>
  </si>
  <si>
    <t xml:space="preserve">Annual Fund Deposit Check </t>
  </si>
  <si>
    <t>Direct parent gift card donations fulfilled</t>
  </si>
  <si>
    <t>this finanical goal</t>
  </si>
  <si>
    <t xml:space="preserve">   </t>
  </si>
  <si>
    <t>Teacher Supplies</t>
  </si>
  <si>
    <t>43 teachers submitted requests</t>
  </si>
  <si>
    <t>Arapahoe County Schools</t>
  </si>
  <si>
    <t>Kroger</t>
  </si>
  <si>
    <t>National Christian Foundation</t>
  </si>
  <si>
    <t>Perry's Pizzeria</t>
  </si>
  <si>
    <t>Torchy's Tacos</t>
  </si>
  <si>
    <t>BoxTops</t>
  </si>
  <si>
    <t>Littleton Public Schools Foundation</t>
  </si>
  <si>
    <t>Shred-a-thon</t>
  </si>
  <si>
    <t>DDC Centennial- restaurant</t>
  </si>
  <si>
    <t>Papa Murphy's</t>
  </si>
  <si>
    <t>x</t>
  </si>
  <si>
    <t>Deposit Checks (individual families)</t>
  </si>
  <si>
    <t>Originally under-reported because</t>
  </si>
  <si>
    <t>individual contributions came in separately</t>
  </si>
  <si>
    <t>Shred A Thon*</t>
  </si>
  <si>
    <t>Deposit reconciliation with Arapahoe Credit Union</t>
  </si>
  <si>
    <t>Website Maintenance*</t>
  </si>
  <si>
    <t>District Fee</t>
  </si>
  <si>
    <t>Printing &amp; Materials</t>
  </si>
  <si>
    <t>Teacher Luncheon</t>
  </si>
  <si>
    <t>Back to school staff lunch</t>
  </si>
  <si>
    <t>Organization, student headphones</t>
  </si>
  <si>
    <t>Flexible Seating - Wiggle Wobble Chair Feet</t>
  </si>
  <si>
    <t>Setting up classroom (math posters, supplies for math)</t>
  </si>
  <si>
    <t>Inflatable solar system, white boards, dry erase</t>
  </si>
  <si>
    <t>Checks</t>
  </si>
  <si>
    <t>Check</t>
  </si>
  <si>
    <t>Back to school supplies</t>
  </si>
  <si>
    <t>Proposed</t>
  </si>
  <si>
    <t>Actual</t>
  </si>
  <si>
    <t>Surplus</t>
  </si>
  <si>
    <t>Kahoot subscription</t>
  </si>
  <si>
    <t>Interest</t>
  </si>
  <si>
    <t xml:space="preserve"> </t>
  </si>
  <si>
    <t>Teachers Helped:</t>
  </si>
  <si>
    <t xml:space="preserve">Binders, office fan, markers, sticky notes, organizational bins, binder clips, and sensory fidgets. </t>
  </si>
  <si>
    <t>LPS Foundation</t>
  </si>
  <si>
    <t>Parent Donations</t>
  </si>
  <si>
    <t>Staff lunch, conferences</t>
  </si>
  <si>
    <t>Bank Fees</t>
  </si>
  <si>
    <t>PTO Category</t>
  </si>
  <si>
    <t>QuickBooks Category</t>
  </si>
  <si>
    <t>Direct Public Support</t>
  </si>
  <si>
    <t>Program Revenue (admission, concerts)</t>
  </si>
  <si>
    <t>Advertisting Revenue</t>
  </si>
  <si>
    <t>Interest on Savings</t>
  </si>
  <si>
    <t>Dividends from Securities</t>
  </si>
  <si>
    <t>Fundraising</t>
  </si>
  <si>
    <t>990 Form</t>
  </si>
  <si>
    <t>Revenue</t>
  </si>
  <si>
    <t>Expenses</t>
  </si>
  <si>
    <t>Grants &amp; Scholarships</t>
  </si>
  <si>
    <t>Professional Fundraising Fees</t>
  </si>
  <si>
    <t>Advertising Expenses</t>
  </si>
  <si>
    <t>Accounting Fees</t>
  </si>
  <si>
    <t>Legal Fees</t>
  </si>
  <si>
    <t>Supplies</t>
  </si>
  <si>
    <t>Equipment Rental</t>
  </si>
  <si>
    <t>Printing &amp; Publications</t>
  </si>
  <si>
    <t>Specific Assistance</t>
  </si>
  <si>
    <t>Other Expenses</t>
  </si>
  <si>
    <t>PTO Sub category</t>
  </si>
  <si>
    <t>Student Activities</t>
  </si>
  <si>
    <t>REVENUE</t>
  </si>
  <si>
    <t>Balances on July 31st, 2024</t>
  </si>
  <si>
    <r>
      <t>July 30</t>
    </r>
    <r>
      <rPr>
        <b/>
        <sz val="12"/>
        <rFont val="Arial"/>
        <family val="2"/>
      </rPr>
      <t>th</t>
    </r>
    <r>
      <rPr>
        <b/>
        <sz val="14"/>
        <rFont val="Arial"/>
        <family val="2"/>
      </rPr>
      <t>, 2024 Final Balance</t>
    </r>
  </si>
  <si>
    <t>Current Balance</t>
  </si>
  <si>
    <t>Uncleared</t>
  </si>
  <si>
    <t>Running Balance</t>
  </si>
  <si>
    <t>Starting Balance</t>
  </si>
  <si>
    <t>Box Tops</t>
  </si>
  <si>
    <t>Program Revenue</t>
  </si>
  <si>
    <t>Validation</t>
  </si>
  <si>
    <t>Beginning Balance</t>
  </si>
  <si>
    <t>Ending Balance</t>
  </si>
  <si>
    <t>Funding Status</t>
  </si>
  <si>
    <t>*$ needed to reach goals</t>
  </si>
  <si>
    <t>Percent Budgeted</t>
  </si>
  <si>
    <t xml:space="preserve">LPS Foundation </t>
  </si>
  <si>
    <t>Insurance</t>
  </si>
  <si>
    <t>Available Funds</t>
  </si>
  <si>
    <t>Program Support</t>
  </si>
  <si>
    <t>Annual Fundraiser</t>
  </si>
  <si>
    <t>Corporate Fundraiser</t>
  </si>
  <si>
    <t>Restaurant Nights</t>
  </si>
  <si>
    <t>School Initiatives</t>
  </si>
  <si>
    <t>Educational Software</t>
  </si>
  <si>
    <t>Scholarship</t>
  </si>
  <si>
    <t>Secondary School</t>
  </si>
  <si>
    <t xml:space="preserve">School Foundation </t>
  </si>
  <si>
    <t>District Run</t>
  </si>
  <si>
    <t>Teacher Grants</t>
  </si>
  <si>
    <t xml:space="preserve">Kroger </t>
  </si>
  <si>
    <t xml:space="preserve">Materials for making tetrahedron kites, classroom games, and pencils. </t>
  </si>
  <si>
    <t xml:space="preserve">Printing costs for thank you cards distributed to teachers/staff </t>
  </si>
  <si>
    <t>Accounting firm fee</t>
  </si>
  <si>
    <t>Educational games, classroom supplies</t>
  </si>
  <si>
    <t>Ukulele unit supplies</t>
  </si>
  <si>
    <t xml:space="preserve">Educational games  </t>
  </si>
  <si>
    <t>Family Foundation donation</t>
  </si>
  <si>
    <t>Classroom materials such as pencils, erasers, glue sticks, and a paper.</t>
  </si>
  <si>
    <t xml:space="preserve">Staff dinner on Conference night </t>
  </si>
  <si>
    <t>Kroger donation</t>
  </si>
  <si>
    <t>American Online Giving: corporate match</t>
  </si>
  <si>
    <t>Materials for the students for the classroom</t>
  </si>
  <si>
    <t>PayPal Donations</t>
  </si>
  <si>
    <t>Mexican Restaurant night</t>
  </si>
  <si>
    <t>District Run supplies</t>
  </si>
  <si>
    <t>Annual Fundraising marketing signs</t>
  </si>
  <si>
    <t>Musical Cash Donations</t>
  </si>
  <si>
    <t>Musical PayPal Donations</t>
  </si>
  <si>
    <t>Musical Program (cash)</t>
  </si>
  <si>
    <t>Musical Program (PayPal)</t>
  </si>
  <si>
    <t>Stamps used for student letters, classroom posters &amp; supplies</t>
  </si>
  <si>
    <t>Class library and literacy resources</t>
  </si>
  <si>
    <t>PTO Accounting Workbook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</si>
</sst>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&quot;$&quot;#,##0"/>
  </numFmts>
  <fonts count="27" x14ac:knownFonts="1">
    <font>
      <sz val="12"/>
      <color indexed="0"/>
      <name val="Arial"/>
    </font>
    <font>
      <sz val="12"/>
      <color indexed="0"/>
      <name val="Arial"/>
      <family val="2"/>
    </font>
    <font>
      <sz val="12"/>
      <name val="Arial"/>
      <family val="2"/>
    </font>
    <font>
      <sz val="12"/>
      <color indexed="0"/>
      <name val="Arial"/>
      <family val="2"/>
    </font>
    <font>
      <b/>
      <sz val="12"/>
      <color indexed="0"/>
      <name val="Arial"/>
      <family val="2"/>
    </font>
    <font>
      <i/>
      <sz val="12"/>
      <color indexed="0"/>
      <name val="Arial"/>
      <family val="2"/>
    </font>
    <font>
      <sz val="12"/>
      <color theme="9" tint="-0.249977111117893"/>
      <name val="Arial"/>
      <family val="2"/>
    </font>
    <font>
      <b/>
      <sz val="12"/>
      <name val="Arial"/>
      <family val="2"/>
    </font>
    <font>
      <sz val="12"/>
      <color rgb="FF980000"/>
      <name val="Arial"/>
      <family val="2"/>
    </font>
    <font>
      <b/>
      <sz val="14"/>
      <color rgb="FF980000"/>
      <name val="Arial"/>
      <family val="2"/>
    </font>
    <font>
      <sz val="14"/>
      <color indexed="0"/>
      <name val="Arial"/>
      <family val="2"/>
    </font>
    <font>
      <sz val="14"/>
      <name val="Arial"/>
      <family val="2"/>
    </font>
    <font>
      <b/>
      <sz val="14"/>
      <color rgb="FF38761D"/>
      <name val="Arial"/>
      <family val="2"/>
    </font>
    <font>
      <b/>
      <sz val="14"/>
      <color theme="9" tint="-0.249977111117893"/>
      <name val="Arial"/>
      <family val="2"/>
    </font>
    <font>
      <b/>
      <sz val="14"/>
      <color indexed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i/>
      <sz val="10"/>
      <name val="Arial"/>
      <family val="2"/>
    </font>
    <font>
      <sz val="12"/>
      <color indexed="0"/>
      <name val="Arial"/>
    </font>
    <font>
      <sz val="12"/>
      <color theme="1"/>
      <name val="Arial"/>
      <family val="2"/>
    </font>
    <font>
      <b/>
      <sz val="12"/>
      <color rgb="FF980000"/>
      <name val="Arial"/>
      <family val="2"/>
    </font>
    <font>
      <b/>
      <sz val="12"/>
      <color theme="9" tint="-0.249977111117893"/>
      <name val="Arial"/>
      <family val="2"/>
    </font>
    <font>
      <i/>
      <sz val="12"/>
      <color rgb="FF000000"/>
      <name val="Arial"/>
      <family val="2"/>
    </font>
    <font>
      <sz val="11"/>
      <color rgb="FF00000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7E5"/>
        <bgColor indexed="64"/>
      </patternFill>
    </fill>
    <fill>
      <patternFill patternType="solid">
        <fgColor rgb="FFF4EED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5">
    <xf numFmtId="0" fontId="0" fillId="0" borderId="0">
      <alignment vertical="top"/>
      <protection locked="0"/>
    </xf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187">
    <xf numFmtId="0" fontId="0" fillId="0" borderId="0" xfId="0" applyAlignment="1" applyProtection="1"/>
    <xf numFmtId="0" fontId="0" fillId="0" borderId="0" xfId="0">
      <alignment vertical="top"/>
      <protection locked="0"/>
    </xf>
    <xf numFmtId="0" fontId="1" fillId="0" borderId="0" xfId="0" applyFont="1">
      <alignment vertical="top"/>
      <protection locked="0"/>
    </xf>
    <xf numFmtId="0" fontId="1" fillId="0" borderId="0" xfId="0" applyFont="1" applyAlignment="1" applyProtection="1"/>
    <xf numFmtId="14" fontId="0" fillId="0" borderId="0" xfId="0" applyNumberFormat="1" applyAlignment="1" applyProtection="1"/>
    <xf numFmtId="164" fontId="0" fillId="0" borderId="0" xfId="0" applyNumberFormat="1" applyAlignment="1" applyProtection="1">
      <alignment horizontal="center" vertical="center"/>
    </xf>
    <xf numFmtId="0" fontId="1" fillId="0" borderId="11" xfId="0" applyFont="1" applyBorder="1" applyAlignment="1" applyProtection="1"/>
    <xf numFmtId="0" fontId="1" fillId="0" borderId="12" xfId="0" applyFont="1" applyBorder="1" applyAlignment="1" applyProtection="1"/>
    <xf numFmtId="8" fontId="9" fillId="3" borderId="6" xfId="0" applyNumberFormat="1" applyFont="1" applyFill="1" applyBorder="1" applyAlignment="1" applyProtection="1"/>
    <xf numFmtId="0" fontId="10" fillId="3" borderId="5" xfId="0" applyFont="1" applyFill="1" applyBorder="1" applyAlignment="1" applyProtection="1"/>
    <xf numFmtId="0" fontId="11" fillId="3" borderId="5" xfId="0" applyFont="1" applyFill="1" applyBorder="1" applyAlignment="1" applyProtection="1"/>
    <xf numFmtId="0" fontId="10" fillId="3" borderId="2" xfId="0" applyFont="1" applyFill="1" applyBorder="1" applyAlignment="1" applyProtection="1"/>
    <xf numFmtId="8" fontId="9" fillId="3" borderId="4" xfId="0" applyNumberFormat="1" applyFont="1" applyFill="1" applyBorder="1" applyAlignment="1" applyProtection="1"/>
    <xf numFmtId="8" fontId="10" fillId="3" borderId="0" xfId="0" applyNumberFormat="1" applyFont="1" applyFill="1" applyAlignment="1" applyProtection="1"/>
    <xf numFmtId="8" fontId="12" fillId="3" borderId="6" xfId="0" applyNumberFormat="1" applyFont="1" applyFill="1" applyBorder="1" applyAlignment="1" applyProtection="1"/>
    <xf numFmtId="8" fontId="10" fillId="3" borderId="3" xfId="0" applyNumberFormat="1" applyFont="1" applyFill="1" applyBorder="1" applyAlignment="1" applyProtection="1"/>
    <xf numFmtId="0" fontId="14" fillId="2" borderId="5" xfId="0" applyFont="1" applyFill="1" applyBorder="1" applyAlignment="1" applyProtection="1"/>
    <xf numFmtId="8" fontId="10" fillId="2" borderId="0" xfId="0" applyNumberFormat="1" applyFont="1" applyFill="1" applyAlignment="1" applyProtection="1"/>
    <xf numFmtId="8" fontId="13" fillId="2" borderId="6" xfId="0" applyNumberFormat="1" applyFont="1" applyFill="1" applyBorder="1" applyAlignment="1" applyProtection="1"/>
    <xf numFmtId="0" fontId="16" fillId="4" borderId="10" xfId="0" applyFont="1" applyFill="1" applyBorder="1" applyAlignment="1" applyProtection="1"/>
    <xf numFmtId="0" fontId="16" fillId="0" borderId="10" xfId="0" applyFont="1" applyBorder="1" applyAlignment="1" applyProtection="1"/>
    <xf numFmtId="0" fontId="16" fillId="2" borderId="7" xfId="0" applyFont="1" applyFill="1" applyBorder="1" applyAlignment="1" applyProtection="1"/>
    <xf numFmtId="8" fontId="11" fillId="2" borderId="8" xfId="0" applyNumberFormat="1" applyFont="1" applyFill="1" applyBorder="1" applyAlignment="1" applyProtection="1"/>
    <xf numFmtId="8" fontId="9" fillId="2" borderId="9" xfId="0" applyNumberFormat="1" applyFont="1" applyFill="1" applyBorder="1" applyAlignment="1" applyProtection="1"/>
    <xf numFmtId="0" fontId="10" fillId="2" borderId="5" xfId="0" applyFont="1" applyFill="1" applyBorder="1" applyAlignment="1" applyProtection="1"/>
    <xf numFmtId="0" fontId="10" fillId="2" borderId="0" xfId="0" applyFont="1" applyFill="1" applyAlignment="1" applyProtection="1"/>
    <xf numFmtId="8" fontId="12" fillId="2" borderId="6" xfId="0" applyNumberFormat="1" applyFont="1" applyFill="1" applyBorder="1" applyAlignment="1" applyProtection="1"/>
    <xf numFmtId="0" fontId="10" fillId="2" borderId="7" xfId="0" applyFont="1" applyFill="1" applyBorder="1" applyAlignment="1" applyProtection="1"/>
    <xf numFmtId="0" fontId="10" fillId="2" borderId="8" xfId="0" applyFont="1" applyFill="1" applyBorder="1" applyAlignment="1" applyProtection="1"/>
    <xf numFmtId="8" fontId="12" fillId="2" borderId="9" xfId="0" applyNumberFormat="1" applyFont="1" applyFill="1" applyBorder="1" applyAlignment="1" applyProtection="1"/>
    <xf numFmtId="0" fontId="10" fillId="4" borderId="11" xfId="0" applyFont="1" applyFill="1" applyBorder="1" applyAlignment="1" applyProtection="1"/>
    <xf numFmtId="0" fontId="10" fillId="4" borderId="12" xfId="0" applyFont="1" applyFill="1" applyBorder="1" applyAlignment="1" applyProtection="1"/>
    <xf numFmtId="0" fontId="4" fillId="0" borderId="11" xfId="0" applyFont="1" applyBorder="1" applyAlignment="1" applyProtection="1"/>
    <xf numFmtId="0" fontId="4" fillId="0" borderId="12" xfId="0" applyFont="1" applyBorder="1" applyAlignment="1" applyProtection="1"/>
    <xf numFmtId="164" fontId="13" fillId="3" borderId="6" xfId="1" applyNumberFormat="1" applyFont="1" applyFill="1" applyBorder="1" applyAlignment="1" applyProtection="1">
      <alignment horizontal="center" vertical="top"/>
    </xf>
    <xf numFmtId="0" fontId="0" fillId="0" borderId="6" xfId="0" applyBorder="1" applyAlignment="1" applyProtection="1">
      <alignment vertical="center"/>
    </xf>
    <xf numFmtId="165" fontId="17" fillId="2" borderId="9" xfId="2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/>
    <xf numFmtId="165" fontId="18" fillId="3" borderId="6" xfId="2" applyNumberFormat="1" applyFont="1" applyFill="1" applyBorder="1" applyAlignment="1" applyProtection="1">
      <alignment vertical="center"/>
    </xf>
    <xf numFmtId="165" fontId="17" fillId="2" borderId="13" xfId="2" applyNumberFormat="1" applyFont="1" applyFill="1" applyBorder="1" applyAlignment="1" applyProtection="1">
      <alignment vertical="center"/>
    </xf>
    <xf numFmtId="165" fontId="18" fillId="3" borderId="14" xfId="2" applyNumberFormat="1" applyFont="1" applyFill="1" applyBorder="1" applyAlignment="1" applyProtection="1">
      <alignment vertical="center"/>
    </xf>
    <xf numFmtId="0" fontId="1" fillId="4" borderId="5" xfId="0" applyFont="1" applyFill="1" applyBorder="1" applyAlignment="1" applyProtection="1">
      <alignment horizontal="right"/>
    </xf>
    <xf numFmtId="8" fontId="1" fillId="4" borderId="0" xfId="0" applyNumberFormat="1" applyFont="1" applyFill="1" applyAlignment="1" applyProtection="1"/>
    <xf numFmtId="8" fontId="8" fillId="4" borderId="6" xfId="0" applyNumberFormat="1" applyFont="1" applyFill="1" applyBorder="1" applyAlignment="1" applyProtection="1"/>
    <xf numFmtId="0" fontId="18" fillId="4" borderId="6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/>
    <xf numFmtId="0" fontId="6" fillId="4" borderId="6" xfId="0" applyFont="1" applyFill="1" applyBorder="1" applyAlignment="1" applyProtection="1"/>
    <xf numFmtId="8" fontId="6" fillId="4" borderId="6" xfId="0" applyNumberFormat="1" applyFont="1" applyFill="1" applyBorder="1" applyAlignment="1" applyProtection="1"/>
    <xf numFmtId="0" fontId="7" fillId="5" borderId="14" xfId="0" applyFont="1" applyFill="1" applyBorder="1" applyAlignment="1" applyProtection="1"/>
    <xf numFmtId="0" fontId="1" fillId="4" borderId="5" xfId="0" applyFont="1" applyFill="1" applyBorder="1" applyAlignment="1" applyProtection="1">
      <alignment horizontal="right" vertical="top"/>
    </xf>
    <xf numFmtId="0" fontId="0" fillId="4" borderId="0" xfId="0" applyFill="1" applyAlignment="1" applyProtection="1"/>
    <xf numFmtId="165" fontId="18" fillId="4" borderId="15" xfId="2" applyNumberFormat="1" applyFont="1" applyFill="1" applyBorder="1" applyAlignment="1" applyProtection="1">
      <alignment vertical="center"/>
    </xf>
    <xf numFmtId="0" fontId="19" fillId="4" borderId="15" xfId="0" applyFont="1" applyFill="1" applyBorder="1" applyAlignment="1" applyProtection="1">
      <alignment vertical="center"/>
    </xf>
    <xf numFmtId="8" fontId="6" fillId="4" borderId="6" xfId="0" applyNumberFormat="1" applyFont="1" applyFill="1" applyBorder="1" applyAlignment="1" applyProtection="1">
      <alignment horizontal="right" vertical="top"/>
    </xf>
    <xf numFmtId="8" fontId="0" fillId="4" borderId="3" xfId="0" applyNumberFormat="1" applyFill="1" applyBorder="1" applyAlignment="1" applyProtection="1"/>
    <xf numFmtId="165" fontId="0" fillId="4" borderId="4" xfId="2" applyNumberFormat="1" applyFont="1" applyFill="1" applyBorder="1" applyAlignment="1" applyProtection="1"/>
    <xf numFmtId="8" fontId="0" fillId="4" borderId="0" xfId="0" applyNumberFormat="1" applyFill="1" applyAlignment="1" applyProtection="1"/>
    <xf numFmtId="165" fontId="0" fillId="4" borderId="6" xfId="2" applyNumberFormat="1" applyFont="1" applyFill="1" applyBorder="1" applyAlignment="1" applyProtection="1"/>
    <xf numFmtId="0" fontId="0" fillId="4" borderId="12" xfId="0" applyFill="1" applyBorder="1" applyAlignment="1" applyProtection="1"/>
    <xf numFmtId="8" fontId="11" fillId="3" borderId="0" xfId="0" applyNumberFormat="1" applyFont="1" applyFill="1" applyAlignment="1" applyProtection="1"/>
    <xf numFmtId="0" fontId="0" fillId="4" borderId="14" xfId="0" applyFill="1" applyBorder="1" applyAlignment="1" applyProtection="1"/>
    <xf numFmtId="0" fontId="0" fillId="4" borderId="15" xfId="0" applyFill="1" applyBorder="1" applyAlignment="1" applyProtection="1"/>
    <xf numFmtId="0" fontId="24" fillId="4" borderId="1" xfId="0" applyFont="1" applyFill="1" applyBorder="1" applyAlignment="1" applyProtection="1"/>
    <xf numFmtId="8" fontId="24" fillId="4" borderId="11" xfId="0" applyNumberFormat="1" applyFont="1" applyFill="1" applyBorder="1" applyAlignment="1" applyProtection="1"/>
    <xf numFmtId="0" fontId="23" fillId="4" borderId="1" xfId="0" applyFont="1" applyFill="1" applyBorder="1" applyAlignment="1" applyProtection="1"/>
    <xf numFmtId="8" fontId="23" fillId="4" borderId="11" xfId="0" applyNumberFormat="1" applyFont="1" applyFill="1" applyBorder="1" applyAlignment="1" applyProtection="1"/>
    <xf numFmtId="8" fontId="0" fillId="5" borderId="13" xfId="0" applyNumberFormat="1" applyFill="1" applyBorder="1" applyAlignment="1" applyProtection="1">
      <alignment horizontal="left"/>
    </xf>
    <xf numFmtId="0" fontId="0" fillId="6" borderId="0" xfId="0" applyFill="1" applyAlignment="1" applyProtection="1"/>
    <xf numFmtId="0" fontId="1" fillId="6" borderId="0" xfId="0" applyFont="1" applyFill="1" applyAlignment="1" applyProtection="1"/>
    <xf numFmtId="0" fontId="20" fillId="6" borderId="0" xfId="0" applyFont="1" applyFill="1" applyAlignment="1" applyProtection="1">
      <alignment horizontal="left"/>
    </xf>
    <xf numFmtId="0" fontId="0" fillId="4" borderId="11" xfId="0" applyFill="1" applyBorder="1" applyAlignment="1" applyProtection="1"/>
    <xf numFmtId="0" fontId="15" fillId="4" borderId="10" xfId="0" applyFont="1" applyFill="1" applyBorder="1" applyAlignment="1" applyProtection="1">
      <alignment vertical="center"/>
    </xf>
    <xf numFmtId="0" fontId="0" fillId="4" borderId="3" xfId="0" applyFill="1" applyBorder="1" applyAlignment="1" applyProtection="1"/>
    <xf numFmtId="0" fontId="0" fillId="4" borderId="4" xfId="0" applyFill="1" applyBorder="1" applyAlignment="1" applyProtection="1"/>
    <xf numFmtId="0" fontId="0" fillId="4" borderId="6" xfId="0" applyFill="1" applyBorder="1" applyAlignment="1" applyProtection="1"/>
    <xf numFmtId="0" fontId="0" fillId="4" borderId="17" xfId="0" applyFill="1" applyBorder="1" applyAlignment="1" applyProtection="1"/>
    <xf numFmtId="0" fontId="1" fillId="4" borderId="16" xfId="0" applyFont="1" applyFill="1" applyBorder="1" applyAlignment="1" applyProtection="1"/>
    <xf numFmtId="0" fontId="1" fillId="4" borderId="18" xfId="0" applyFont="1" applyFill="1" applyBorder="1" applyAlignment="1" applyProtection="1"/>
    <xf numFmtId="0" fontId="1" fillId="4" borderId="20" xfId="0" applyFont="1" applyFill="1" applyBorder="1" applyAlignment="1" applyProtection="1"/>
    <xf numFmtId="44" fontId="0" fillId="0" borderId="0" xfId="1" applyFont="1" applyAlignment="1" applyProtection="1">
      <alignment horizontal="center" vertical="top"/>
      <protection locked="0"/>
    </xf>
    <xf numFmtId="44" fontId="0" fillId="0" borderId="0" xfId="1" applyFont="1" applyAlignment="1" applyProtection="1">
      <alignment horizontal="center"/>
    </xf>
    <xf numFmtId="164" fontId="8" fillId="4" borderId="6" xfId="0" applyNumberFormat="1" applyFont="1" applyFill="1" applyBorder="1" applyAlignment="1" applyProtection="1"/>
    <xf numFmtId="8" fontId="8" fillId="4" borderId="0" xfId="0" applyNumberFormat="1" applyFont="1" applyFill="1" applyAlignment="1" applyProtection="1"/>
    <xf numFmtId="0" fontId="1" fillId="4" borderId="19" xfId="0" applyFont="1" applyFill="1" applyBorder="1" applyAlignment="1" applyProtection="1"/>
    <xf numFmtId="0" fontId="1" fillId="4" borderId="1" xfId="0" applyFont="1" applyFill="1" applyBorder="1" applyAlignment="1" applyProtection="1"/>
    <xf numFmtId="0" fontId="1" fillId="4" borderId="10" xfId="0" applyFont="1" applyFill="1" applyBorder="1" applyAlignment="1" applyProtection="1"/>
    <xf numFmtId="0" fontId="2" fillId="0" borderId="0" xfId="0" applyFont="1" applyAlignment="1" applyProtection="1"/>
    <xf numFmtId="0" fontId="0" fillId="0" borderId="0" xfId="1" applyNumberFormat="1" applyFont="1" applyAlignment="1" applyProtection="1">
      <alignment horizontal="right" vertical="top"/>
      <protection locked="0"/>
    </xf>
    <xf numFmtId="6" fontId="22" fillId="4" borderId="0" xfId="0" applyNumberFormat="1" applyFont="1" applyFill="1" applyAlignment="1" applyProtection="1"/>
    <xf numFmtId="14" fontId="1" fillId="0" borderId="0" xfId="0" applyNumberFormat="1" applyFont="1">
      <alignment vertical="top"/>
      <protection locked="0"/>
    </xf>
    <xf numFmtId="0" fontId="1" fillId="4" borderId="11" xfId="0" applyFont="1" applyFill="1" applyBorder="1" applyAlignment="1" applyProtection="1"/>
    <xf numFmtId="14" fontId="0" fillId="0" borderId="0" xfId="0" applyNumberFormat="1">
      <alignment vertical="top"/>
      <protection locked="0"/>
    </xf>
    <xf numFmtId="0" fontId="1" fillId="4" borderId="5" xfId="0" applyFont="1" applyFill="1" applyBorder="1" applyAlignment="1" applyProtection="1">
      <alignment horizontal="right" vertical="center"/>
    </xf>
    <xf numFmtId="0" fontId="0" fillId="0" borderId="15" xfId="0" applyBorder="1" applyAlignment="1" applyProtection="1"/>
    <xf numFmtId="0" fontId="1" fillId="4" borderId="21" xfId="0" applyFont="1" applyFill="1" applyBorder="1" applyAlignment="1" applyProtection="1"/>
    <xf numFmtId="0" fontId="0" fillId="4" borderId="8" xfId="0" applyFill="1" applyBorder="1" applyAlignment="1" applyProtection="1"/>
    <xf numFmtId="0" fontId="0" fillId="4" borderId="9" xfId="0" applyFill="1" applyBorder="1" applyAlignment="1" applyProtection="1"/>
    <xf numFmtId="14" fontId="6" fillId="0" borderId="0" xfId="0" applyNumberFormat="1" applyFont="1" applyAlignment="1">
      <protection locked="0"/>
    </xf>
    <xf numFmtId="0" fontId="6" fillId="0" borderId="0" xfId="0" applyFont="1">
      <alignment vertical="top"/>
      <protection locked="0"/>
    </xf>
    <xf numFmtId="2" fontId="2" fillId="0" borderId="0" xfId="0" applyNumberFormat="1" applyFont="1" applyAlignment="1" applyProtection="1"/>
    <xf numFmtId="2" fontId="0" fillId="0" borderId="0" xfId="0" applyNumberFormat="1" applyAlignment="1" applyProtection="1"/>
    <xf numFmtId="2" fontId="6" fillId="0" borderId="0" xfId="0" applyNumberFormat="1" applyFont="1">
      <alignment vertical="top"/>
      <protection locked="0"/>
    </xf>
    <xf numFmtId="4" fontId="0" fillId="0" borderId="0" xfId="0" applyNumberFormat="1" applyAlignment="1" applyProtection="1"/>
    <xf numFmtId="0" fontId="0" fillId="0" borderId="0" xfId="1" applyNumberFormat="1" applyFont="1" applyAlignment="1" applyProtection="1">
      <alignment horizontal="right" vertical="center"/>
    </xf>
    <xf numFmtId="0" fontId="7" fillId="4" borderId="2" xfId="0" applyFont="1" applyFill="1" applyBorder="1" applyAlignment="1" applyProtection="1"/>
    <xf numFmtId="0" fontId="1" fillId="4" borderId="3" xfId="0" applyFont="1" applyFill="1" applyBorder="1" applyAlignment="1" applyProtection="1"/>
    <xf numFmtId="0" fontId="1" fillId="4" borderId="8" xfId="0" applyFont="1" applyFill="1" applyBorder="1" applyAlignment="1" applyProtection="1"/>
    <xf numFmtId="0" fontId="1" fillId="4" borderId="14" xfId="0" applyFont="1" applyFill="1" applyBorder="1" applyAlignment="1" applyProtection="1"/>
    <xf numFmtId="0" fontId="0" fillId="4" borderId="13" xfId="0" applyFill="1" applyBorder="1" applyAlignment="1" applyProtection="1"/>
    <xf numFmtId="0" fontId="7" fillId="0" borderId="0" xfId="0" applyFont="1" applyAlignment="1" applyProtection="1"/>
    <xf numFmtId="0" fontId="25" fillId="0" borderId="0" xfId="0" applyFont="1" applyAlignment="1" applyProtection="1"/>
    <xf numFmtId="0" fontId="0" fillId="0" borderId="0" xfId="1" applyNumberFormat="1" applyFont="1" applyAlignment="1" applyProtection="1">
      <alignment horizontal="right" vertical="center"/>
      <protection locked="0"/>
    </xf>
    <xf numFmtId="0" fontId="0" fillId="4" borderId="5" xfId="0" applyFill="1" applyBorder="1" applyAlignment="1" applyProtection="1"/>
    <xf numFmtId="0" fontId="1" fillId="4" borderId="16" xfId="0" applyFont="1" applyFill="1" applyBorder="1" applyAlignment="1" applyProtection="1">
      <alignment horizontal="left" vertical="top"/>
    </xf>
    <xf numFmtId="0" fontId="0" fillId="4" borderId="3" xfId="0" applyFill="1" applyBorder="1" applyAlignment="1" applyProtection="1">
      <alignment horizontal="left" vertical="top" wrapText="1"/>
    </xf>
    <xf numFmtId="0" fontId="1" fillId="4" borderId="21" xfId="0" applyFont="1" applyFill="1" applyBorder="1" applyAlignment="1" applyProtection="1">
      <alignment horizontal="left" vertical="top"/>
    </xf>
    <xf numFmtId="0" fontId="0" fillId="4" borderId="8" xfId="0" applyFill="1" applyBorder="1" applyAlignment="1" applyProtection="1">
      <alignment horizontal="left" vertical="top" wrapText="1"/>
    </xf>
    <xf numFmtId="1" fontId="0" fillId="0" borderId="0" xfId="0" applyNumberFormat="1" applyAlignment="1">
      <alignment horizontal="right" vertical="top"/>
      <protection locked="0"/>
    </xf>
    <xf numFmtId="1" fontId="1" fillId="0" borderId="0" xfId="0" applyNumberFormat="1" applyFont="1" applyAlignment="1">
      <alignment horizontal="right" vertical="top"/>
      <protection locked="0"/>
    </xf>
    <xf numFmtId="1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6" fontId="1" fillId="4" borderId="0" xfId="0" applyNumberFormat="1" applyFont="1" applyFill="1" applyAlignment="1" applyProtection="1"/>
    <xf numFmtId="8" fontId="0" fillId="6" borderId="0" xfId="0" applyNumberFormat="1" applyFill="1" applyAlignment="1" applyProtection="1"/>
    <xf numFmtId="8" fontId="24" fillId="2" borderId="1" xfId="0" applyNumberFormat="1" applyFont="1" applyFill="1" applyBorder="1" applyAlignment="1" applyProtection="1"/>
    <xf numFmtId="164" fontId="12" fillId="2" borderId="6" xfId="0" applyNumberFormat="1" applyFont="1" applyFill="1" applyBorder="1" applyAlignment="1" applyProtection="1"/>
    <xf numFmtId="164" fontId="12" fillId="2" borderId="9" xfId="0" applyNumberFormat="1" applyFont="1" applyFill="1" applyBorder="1" applyAlignment="1" applyProtection="1"/>
    <xf numFmtId="44" fontId="1" fillId="0" borderId="0" xfId="1" applyFont="1" applyAlignment="1" applyProtection="1">
      <alignment horizontal="center" vertical="top"/>
      <protection locked="0"/>
    </xf>
    <xf numFmtId="44" fontId="0" fillId="0" borderId="0" xfId="1" applyFont="1" applyAlignment="1" applyProtection="1">
      <alignment horizontal="right" vertical="center"/>
      <protection locked="0"/>
    </xf>
    <xf numFmtId="44" fontId="0" fillId="0" borderId="0" xfId="0" applyNumberFormat="1">
      <alignment vertical="top"/>
      <protection locked="0"/>
    </xf>
    <xf numFmtId="44" fontId="0" fillId="0" borderId="0" xfId="1" applyFont="1" applyAlignment="1" applyProtection="1">
      <alignment horizontal="right" vertical="center"/>
    </xf>
    <xf numFmtId="1" fontId="1" fillId="0" borderId="0" xfId="0" applyNumberFormat="1" applyFont="1" applyAlignment="1" applyProtection="1">
      <alignment horizontal="right"/>
    </xf>
    <xf numFmtId="44" fontId="1" fillId="0" borderId="0" xfId="1" applyFont="1" applyAlignment="1" applyProtection="1">
      <alignment horizontal="right" vertical="center"/>
    </xf>
    <xf numFmtId="0" fontId="7" fillId="4" borderId="1" xfId="0" applyFont="1" applyFill="1" applyBorder="1" applyAlignment="1" applyProtection="1">
      <alignment horizontal="center"/>
    </xf>
    <xf numFmtId="0" fontId="16" fillId="4" borderId="2" xfId="0" applyFont="1" applyFill="1" applyBorder="1" applyAlignment="1" applyProtection="1"/>
    <xf numFmtId="0" fontId="0" fillId="0" borderId="5" xfId="0" applyBorder="1" applyAlignment="1" applyProtection="1"/>
    <xf numFmtId="8" fontId="0" fillId="4" borderId="6" xfId="0" applyNumberFormat="1" applyFill="1" applyBorder="1" applyAlignment="1" applyProtection="1"/>
    <xf numFmtId="0" fontId="1" fillId="0" borderId="5" xfId="0" applyFont="1" applyBorder="1" applyAlignment="1" applyProtection="1"/>
    <xf numFmtId="0" fontId="1" fillId="0" borderId="7" xfId="0" applyFont="1" applyBorder="1" applyAlignment="1" applyProtection="1"/>
    <xf numFmtId="8" fontId="0" fillId="4" borderId="9" xfId="0" applyNumberFormat="1" applyFill="1" applyBorder="1" applyAlignment="1" applyProtection="1"/>
    <xf numFmtId="0" fontId="7" fillId="0" borderId="2" xfId="0" applyFont="1" applyBorder="1" applyAlignment="1" applyProtection="1"/>
    <xf numFmtId="0" fontId="0" fillId="0" borderId="10" xfId="0" applyBorder="1" applyAlignment="1" applyProtection="1"/>
    <xf numFmtId="8" fontId="23" fillId="4" borderId="1" xfId="0" applyNumberFormat="1" applyFont="1" applyFill="1" applyBorder="1" applyAlignment="1" applyProtection="1"/>
    <xf numFmtId="8" fontId="24" fillId="4" borderId="1" xfId="0" applyNumberFormat="1" applyFont="1" applyFill="1" applyBorder="1" applyAlignment="1" applyProtection="1"/>
    <xf numFmtId="0" fontId="1" fillId="4" borderId="14" xfId="0" applyFont="1" applyFill="1" applyBorder="1" applyAlignment="1" applyProtection="1">
      <alignment horizontal="right"/>
    </xf>
    <xf numFmtId="0" fontId="7" fillId="4" borderId="15" xfId="0" applyFont="1" applyFill="1" applyBorder="1" applyAlignment="1" applyProtection="1">
      <alignment horizontal="right"/>
    </xf>
    <xf numFmtId="0" fontId="0" fillId="4" borderId="15" xfId="0" applyFill="1" applyBorder="1" applyAlignment="1" applyProtection="1">
      <alignment horizontal="right"/>
    </xf>
    <xf numFmtId="8" fontId="0" fillId="4" borderId="14" xfId="0" applyNumberFormat="1" applyFill="1" applyBorder="1" applyAlignment="1" applyProtection="1">
      <alignment horizontal="right"/>
    </xf>
    <xf numFmtId="0" fontId="0" fillId="4" borderId="2" xfId="0" applyFill="1" applyBorder="1" applyAlignment="1" applyProtection="1"/>
    <xf numFmtId="0" fontId="1" fillId="4" borderId="7" xfId="0" applyFont="1" applyFill="1" applyBorder="1" applyAlignment="1" applyProtection="1">
      <alignment horizontal="right"/>
    </xf>
    <xf numFmtId="0" fontId="1" fillId="4" borderId="2" xfId="0" applyFont="1" applyFill="1" applyBorder="1" applyAlignment="1" applyProtection="1">
      <alignment horizontal="right"/>
    </xf>
    <xf numFmtId="8" fontId="0" fillId="4" borderId="4" xfId="0" applyNumberFormat="1" applyFill="1" applyBorder="1" applyAlignment="1" applyProtection="1"/>
    <xf numFmtId="164" fontId="0" fillId="4" borderId="9" xfId="0" applyNumberFormat="1" applyFill="1" applyBorder="1" applyAlignment="1" applyProtection="1"/>
    <xf numFmtId="8" fontId="7" fillId="4" borderId="9" xfId="0" applyNumberFormat="1" applyFont="1" applyFill="1" applyBorder="1" applyAlignment="1" applyProtection="1">
      <alignment horizontal="right"/>
    </xf>
    <xf numFmtId="6" fontId="0" fillId="5" borderId="13" xfId="0" applyNumberFormat="1" applyFill="1" applyBorder="1" applyAlignment="1" applyProtection="1">
      <alignment horizontal="right"/>
    </xf>
    <xf numFmtId="0" fontId="7" fillId="5" borderId="14" xfId="0" applyFont="1" applyFill="1" applyBorder="1" applyAlignment="1" applyProtection="1">
      <alignment horizontal="center" vertical="center"/>
    </xf>
    <xf numFmtId="164" fontId="13" fillId="3" borderId="6" xfId="1" applyNumberFormat="1" applyFont="1" applyFill="1" applyBorder="1" applyAlignment="1" applyProtection="1">
      <alignment horizontal="right" vertical="top"/>
    </xf>
    <xf numFmtId="9" fontId="0" fillId="5" borderId="13" xfId="2" applyFont="1" applyFill="1" applyBorder="1" applyAlignment="1" applyProtection="1">
      <alignment horizontal="right"/>
    </xf>
    <xf numFmtId="6" fontId="0" fillId="0" borderId="0" xfId="0" applyNumberFormat="1" applyAlignment="1" applyProtection="1"/>
    <xf numFmtId="6" fontId="2" fillId="4" borderId="0" xfId="0" applyNumberFormat="1" applyFont="1" applyFill="1" applyAlignment="1" applyProtection="1"/>
    <xf numFmtId="0" fontId="2" fillId="4" borderId="5" xfId="0" applyFont="1" applyFill="1" applyBorder="1" applyAlignment="1" applyProtection="1">
      <alignment horizontal="right"/>
    </xf>
    <xf numFmtId="6" fontId="0" fillId="6" borderId="0" xfId="0" applyNumberFormat="1" applyFill="1" applyAlignment="1" applyProtection="1"/>
    <xf numFmtId="3" fontId="0" fillId="6" borderId="0" xfId="0" applyNumberFormat="1" applyFill="1" applyAlignment="1" applyProtection="1"/>
    <xf numFmtId="0" fontId="26" fillId="6" borderId="0" xfId="0" applyFont="1" applyFill="1" applyAlignment="1" applyProtection="1"/>
    <xf numFmtId="166" fontId="0" fillId="4" borderId="0" xfId="0" applyNumberFormat="1" applyFill="1" applyAlignment="1" applyProtection="1"/>
    <xf numFmtId="6" fontId="10" fillId="3" borderId="0" xfId="0" applyNumberFormat="1" applyFont="1" applyFill="1" applyAlignment="1" applyProtection="1"/>
    <xf numFmtId="6" fontId="10" fillId="2" borderId="0" xfId="0" applyNumberFormat="1" applyFont="1" applyFill="1" applyAlignment="1" applyProtection="1"/>
    <xf numFmtId="6" fontId="11" fillId="3" borderId="0" xfId="0" applyNumberFormat="1" applyFont="1" applyFill="1" applyAlignment="1" applyProtection="1"/>
    <xf numFmtId="6" fontId="11" fillId="2" borderId="8" xfId="0" applyNumberFormat="1" applyFont="1" applyFill="1" applyBorder="1" applyAlignment="1" applyProtection="1"/>
    <xf numFmtId="6" fontId="0" fillId="4" borderId="0" xfId="0" applyNumberFormat="1" applyFill="1" applyAlignment="1" applyProtection="1"/>
    <xf numFmtId="2" fontId="1" fillId="0" borderId="0" xfId="0" applyNumberFormat="1" applyFont="1" applyAlignment="1">
      <alignment horizontal="right" vertical="top"/>
      <protection locked="0"/>
    </xf>
    <xf numFmtId="2" fontId="1" fillId="0" borderId="0" xfId="0" applyNumberFormat="1" applyFont="1" applyAlignment="1" applyProtection="1">
      <alignment horizontal="right"/>
    </xf>
    <xf numFmtId="2" fontId="0" fillId="0" borderId="0" xfId="0" applyNumberFormat="1" applyAlignment="1">
      <alignment horizontal="right" vertical="top"/>
      <protection locked="0"/>
    </xf>
    <xf numFmtId="2" fontId="0" fillId="0" borderId="0" xfId="0" applyNumberFormat="1" applyAlignment="1" applyProtection="1">
      <alignment horizontal="right"/>
    </xf>
    <xf numFmtId="2" fontId="0" fillId="0" borderId="0" xfId="1" applyNumberFormat="1" applyFont="1" applyAlignment="1" applyProtection="1">
      <alignment horizontal="right" vertical="center"/>
      <protection locked="0"/>
    </xf>
    <xf numFmtId="0" fontId="0" fillId="0" borderId="6" xfId="0" applyBorder="1" applyAlignment="1" applyProtection="1"/>
    <xf numFmtId="0" fontId="0" fillId="0" borderId="14" xfId="0" applyBorder="1" applyAlignment="1" applyProtection="1"/>
    <xf numFmtId="0" fontId="1" fillId="4" borderId="15" xfId="0" applyFont="1" applyFill="1" applyBorder="1" applyAlignment="1" applyProtection="1">
      <alignment horizontal="right"/>
    </xf>
    <xf numFmtId="0" fontId="2" fillId="4" borderId="15" xfId="0" applyFont="1" applyFill="1" applyBorder="1" applyAlignment="1" applyProtection="1">
      <alignment horizontal="right"/>
    </xf>
    <xf numFmtId="0" fontId="2" fillId="4" borderId="13" xfId="0" applyFont="1" applyFill="1" applyBorder="1" applyAlignment="1" applyProtection="1">
      <alignment horizontal="right"/>
    </xf>
    <xf numFmtId="8" fontId="0" fillId="4" borderId="14" xfId="0" applyNumberFormat="1" applyFill="1" applyBorder="1" applyAlignment="1" applyProtection="1"/>
    <xf numFmtId="8" fontId="0" fillId="4" borderId="15" xfId="0" applyNumberFormat="1" applyFill="1" applyBorder="1" applyAlignment="1" applyProtection="1"/>
    <xf numFmtId="8" fontId="0" fillId="0" borderId="15" xfId="0" applyNumberFormat="1" applyBorder="1" applyAlignment="1" applyProtection="1"/>
    <xf numFmtId="8" fontId="0" fillId="4" borderId="13" xfId="0" applyNumberFormat="1" applyFill="1" applyBorder="1" applyAlignment="1" applyProtection="1"/>
    <xf numFmtId="8" fontId="13" fillId="2" borderId="1" xfId="0" applyNumberFormat="1" applyFont="1" applyFill="1" applyBorder="1" applyAlignment="1" applyProtection="1"/>
    <xf numFmtId="1" fontId="0" fillId="0" borderId="0" xfId="0" applyNumberFormat="1" applyAlignment="1">
      <alignment horizontal="left" vertical="top"/>
      <protection locked="0"/>
    </xf>
    <xf numFmtId="2" fontId="1" fillId="0" borderId="0" xfId="0" applyNumberFormat="1" applyFont="1" applyAlignment="1">
      <alignment horizontal="left" vertical="top"/>
      <protection locked="0"/>
    </xf>
    <xf numFmtId="0" fontId="15" fillId="4" borderId="10" xfId="0" applyFont="1" applyFill="1" applyBorder="1" applyAlignment="1" applyProtection="1">
      <alignment horizontal="left" vertical="center" indent="1"/>
    </xf>
  </cellXfs>
  <cellStyles count="5">
    <cellStyle name="Currency" xfId="1" builtinId="4"/>
    <cellStyle name="Currency 2" xfId="4" xr:uid="{FA418142-9E3D-4B94-AD4F-631B0216B0EE}"/>
    <cellStyle name="Normal" xfId="0" builtinId="0"/>
    <cellStyle name="Percent" xfId="2" builtinId="5"/>
    <cellStyle name="Percent 2" xfId="3" xr:uid="{75B424A9-8A1A-4083-BA1C-C1923642F30E}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numFmt numFmtId="19" formatCode="m/d/yyyy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0"/>
        <name val="Arial"/>
        <scheme val="none"/>
      </font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alignment horizontal="general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  <protection locked="1" hidden="0"/>
    </dxf>
    <dxf>
      <numFmt numFmtId="1" formatCode="0"/>
      <alignment horizontal="right" vertical="bottom" textRotation="0" wrapText="0" indent="0" justifyLastLine="0" shrinkToFit="0" readingOrder="0"/>
      <protection locked="1" hidden="0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0"/>
        <name val="Arial"/>
        <scheme val="none"/>
      </font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alignment horizontal="general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  <protection locked="1" hidden="0"/>
    </dxf>
    <dxf>
      <numFmt numFmtId="1" formatCode="0"/>
      <alignment horizontal="right" vertical="bottom" textRotation="0" wrapText="0" indent="0" justifyLastLine="0" shrinkToFit="0" readingOrder="0"/>
      <protection locked="1" hidden="0"/>
    </dxf>
    <dxf>
      <numFmt numFmtId="19" formatCode="m/d/yyyy"/>
    </dxf>
  </dxfs>
  <tableStyles count="0" defaultTableStyle="TableStyleMedium2" defaultPivotStyle="PivotStyleLight16"/>
  <colors>
    <mruColors>
      <color rgb="FFF4EEDC"/>
      <color rgb="FFEEF7E5"/>
      <color rgb="FFB00000"/>
      <color rgb="FF98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857B3A2-0868-42E4-9A49-D292BC296F3D}" name="Table135" displayName="Table135" ref="A1:H161" totalsRowShown="0">
  <autoFilter ref="A1:H161" xr:uid="{00000000-000C-0000-FFFF-FFFF00000000}"/>
  <sortState xmlns:xlrd2="http://schemas.microsoft.com/office/spreadsheetml/2017/richdata2" ref="A2:H161">
    <sortCondition ref="A1:A161"/>
  </sortState>
  <tableColumns count="8">
    <tableColumn id="1" xr3:uid="{8E1D9F02-AE5C-4584-83B5-4678F63F4BAC}" name="Date" dataDxfId="23"/>
    <tableColumn id="6" xr3:uid="{0A087D11-0126-4F07-A149-C32805161E07}" name="Check" dataDxfId="22"/>
    <tableColumn id="7" xr3:uid="{61DF22F8-5F27-41F1-B204-7BC15EF3416D}" name="Uncleared" dataDxfId="21"/>
    <tableColumn id="2" xr3:uid="{22D97AEC-876B-4646-9A61-E2FC18CBD201}" name="Description" dataDxfId="20"/>
    <tableColumn id="3" xr3:uid="{92ECD6E2-D416-49AC-886A-264F6083C198}" name="Top-level" dataDxfId="19">
      <calculatedColumnFormula>_xlfn.XLOOKUP(Table135[[#This Row],[Category]],$K$3:$K$33,$J$3:$J$33,FALSE)</calculatedColumnFormula>
    </tableColumn>
    <tableColumn id="4" xr3:uid="{76F340D1-928D-4DAC-8FDD-2328B7F6FBBF}" name="Category" dataDxfId="18"/>
    <tableColumn id="5" xr3:uid="{CA2070BC-0627-463B-87DB-703007010A69}" name="Total" dataDxfId="17" dataCellStyle="Currency"/>
    <tableColumn id="8" xr3:uid="{5B088CFD-25AC-474D-8FB8-927B152A2DA8}" name="Running Balance" dataDxfId="16" dataCellStyle="Currency">
      <calculatedColumnFormula>H1+$G2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99A4C8-25D3-4FB4-8300-D496F4DD4D64}" name="Table13" displayName="Table13" ref="A1:H46" totalsRowShown="0">
  <autoFilter ref="A1:H46" xr:uid="{00000000-000C-0000-FFFF-FFFF00000000}"/>
  <sortState xmlns:xlrd2="http://schemas.microsoft.com/office/spreadsheetml/2017/richdata2" ref="A2:H149">
    <sortCondition ref="A1:A149"/>
  </sortState>
  <tableColumns count="8">
    <tableColumn id="1" xr3:uid="{E3BE2115-DC28-4212-8AE1-13C39A6BFA58}" name="Date" dataDxfId="15"/>
    <tableColumn id="6" xr3:uid="{F09C14A3-7C73-4415-9DB5-C515E60A5FB2}" name="Check" dataDxfId="14"/>
    <tableColumn id="7" xr3:uid="{07177D6B-7679-4003-AF5F-F975C63447B0}" name="Uncleared" dataDxfId="13"/>
    <tableColumn id="2" xr3:uid="{79A677DD-9407-4961-BBD7-6F732031D12C}" name="Description" dataDxfId="12"/>
    <tableColumn id="3" xr3:uid="{E781CA68-D36E-4B3D-AE15-23D8D03C2F39}" name="Top-level" dataDxfId="11">
      <calculatedColumnFormula>_xlfn.XLOOKUP(Table13[[#This Row],[Category]],$K$3:$K$28,$J$3:$J$28,FALSE)</calculatedColumnFormula>
    </tableColumn>
    <tableColumn id="4" xr3:uid="{8C92FEE3-F940-438D-A95A-FF199C6AE99D}" name="Category" dataDxfId="10"/>
    <tableColumn id="5" xr3:uid="{99108446-A492-4677-B5DA-D8D1FD271C21}" name="Total" dataDxfId="9" dataCellStyle="Currency"/>
    <tableColumn id="8" xr3:uid="{281DCA91-94DB-4458-AB6E-806ACF899B30}" name="Running Balance" dataDxfId="8" dataCellStyle="Currency">
      <calculatedColumnFormula>H1+$G2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88" totalsRowShown="0">
  <autoFilter ref="A1:E88" xr:uid="{00000000-000C-0000-FFFF-FFFF00000000}"/>
  <sortState xmlns:xlrd2="http://schemas.microsoft.com/office/spreadsheetml/2017/richdata2" ref="A2:E88">
    <sortCondition ref="A1:A88"/>
  </sortState>
  <tableColumns count="5">
    <tableColumn id="1" xr3:uid="{00000000-0010-0000-0000-000001000000}" name="Date" dataDxfId="7"/>
    <tableColumn id="2" xr3:uid="{00000000-0010-0000-0000-000002000000}" name="Description"/>
    <tableColumn id="3" xr3:uid="{00000000-0010-0000-0000-000003000000}" name="Top-level" dataDxfId="6">
      <calculatedColumnFormula>_xlfn.XLOOKUP(Table1[[#This Row],[Category]],$H$3:$H$30,$G$3:$G$30,FALSE)</calculatedColumnFormula>
    </tableColumn>
    <tableColumn id="4" xr3:uid="{00000000-0010-0000-0000-000004000000}" name="Category" dataDxfId="5"/>
    <tableColumn id="5" xr3:uid="{00000000-0010-0000-0000-000005000000}" name="Total" dataDxfId="4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236C-6B02-4E5C-8EF1-BC9DDD3EB388}">
  <sheetPr codeName="Sheet6"/>
  <dimension ref="A1:R62"/>
  <sheetViews>
    <sheetView showGridLines="0" topLeftCell="A2" workbookViewId="0">
      <selection activeCell="H37" sqref="H37"/>
    </sheetView>
  </sheetViews>
  <sheetFormatPr defaultColWidth="11.15234375" defaultRowHeight="15.5" x14ac:dyDescent="0.35"/>
  <cols>
    <col min="1" max="1" width="5.69140625" customWidth="1"/>
    <col min="2" max="2" width="40.53515625" customWidth="1"/>
    <col min="3" max="3" width="17.53515625" customWidth="1"/>
    <col min="4" max="4" width="13" customWidth="1"/>
    <col min="5" max="5" width="13.69140625" bestFit="1" customWidth="1"/>
    <col min="6" max="6" width="6.84375" customWidth="1"/>
    <col min="7" max="7" width="18.765625" customWidth="1"/>
    <col min="8" max="8" width="16.53515625" bestFit="1" customWidth="1"/>
    <col min="10" max="10" width="7.3046875" customWidth="1"/>
    <col min="11" max="11" width="33.921875" customWidth="1"/>
    <col min="12" max="12" width="12.61328125" customWidth="1"/>
    <col min="13" max="13" width="11.4609375" customWidth="1"/>
    <col min="15" max="15" width="22.3046875" customWidth="1"/>
    <col min="16" max="16" width="38.61328125" customWidth="1"/>
  </cols>
  <sheetData>
    <row r="1" spans="1:18" x14ac:dyDescent="0.3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49" customHeight="1" x14ac:dyDescent="0.35">
      <c r="A2" s="67"/>
      <c r="B2" s="71" t="s">
        <v>144</v>
      </c>
      <c r="C2" s="70"/>
      <c r="D2" s="70"/>
      <c r="E2" s="58" t="e" vm="1">
        <v>#VALUE!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x14ac:dyDescent="0.3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8" x14ac:dyDescent="0.4">
      <c r="A4" s="67"/>
      <c r="B4" s="19" t="s">
        <v>11</v>
      </c>
      <c r="C4" s="32" t="s">
        <v>186</v>
      </c>
      <c r="D4" s="33" t="s">
        <v>187</v>
      </c>
      <c r="E4" s="37" t="s">
        <v>38</v>
      </c>
      <c r="F4" s="67"/>
      <c r="G4" s="154" t="s">
        <v>238</v>
      </c>
      <c r="H4" s="154" t="s">
        <v>235</v>
      </c>
      <c r="I4" s="67"/>
      <c r="J4" s="67"/>
      <c r="K4" s="133" t="s">
        <v>206</v>
      </c>
      <c r="L4" s="73"/>
      <c r="M4" s="143" t="s">
        <v>230</v>
      </c>
      <c r="N4" s="67"/>
      <c r="O4" s="67"/>
      <c r="P4" s="67"/>
      <c r="Q4" s="67"/>
      <c r="R4" s="67"/>
    </row>
    <row r="5" spans="1:18" ht="18" x14ac:dyDescent="0.4">
      <c r="A5" s="67"/>
      <c r="B5" s="9" t="s">
        <v>5</v>
      </c>
      <c r="C5" s="13">
        <v>18000</v>
      </c>
      <c r="D5" s="14">
        <f>SUMIF('25-26 Accounting'!F:F,"Annual Fund",'25-26 Accounting'!G:G)</f>
        <v>0</v>
      </c>
      <c r="E5" s="38">
        <f>(D5/C5)</f>
        <v>0</v>
      </c>
      <c r="F5" s="67"/>
      <c r="G5" s="153">
        <f>SUM(H25:H26)-7500</f>
        <v>3329.59</v>
      </c>
      <c r="H5" s="156">
        <f>C43/C13</f>
        <v>0.98509933774834435</v>
      </c>
      <c r="I5" s="67"/>
      <c r="J5" s="67"/>
      <c r="K5" s="139" t="s">
        <v>207</v>
      </c>
      <c r="L5" s="142">
        <f>SUM(L6:L11)</f>
        <v>0</v>
      </c>
      <c r="M5" s="146">
        <f>SUM(D13,I25)</f>
        <v>0</v>
      </c>
      <c r="N5" s="67"/>
      <c r="O5" s="67"/>
      <c r="P5" s="67"/>
      <c r="Q5" s="67"/>
      <c r="R5" s="67"/>
    </row>
    <row r="6" spans="1:18" ht="18" x14ac:dyDescent="0.35">
      <c r="A6" s="67"/>
      <c r="B6" s="9" t="s">
        <v>145</v>
      </c>
      <c r="C6" s="13">
        <f>SUM(C7:C12)</f>
        <v>27300</v>
      </c>
      <c r="D6" s="155">
        <f>SUM(D7:D12)</f>
        <v>0</v>
      </c>
      <c r="E6" s="38">
        <f>(D6/C6)</f>
        <v>0</v>
      </c>
      <c r="F6" s="67"/>
      <c r="G6" s="69" t="s">
        <v>40</v>
      </c>
      <c r="H6" s="69" t="s">
        <v>234</v>
      </c>
      <c r="I6" s="67"/>
      <c r="J6" s="67"/>
      <c r="K6" s="134" t="s">
        <v>200</v>
      </c>
      <c r="L6" s="135">
        <f>SUM(D10:D11)</f>
        <v>0</v>
      </c>
      <c r="M6" s="144" t="str">
        <f>IF(L5=M5,"Valid")</f>
        <v>Valid</v>
      </c>
      <c r="N6" s="67"/>
      <c r="O6" s="67"/>
      <c r="P6" s="67"/>
      <c r="Q6" s="67"/>
      <c r="R6" s="67"/>
    </row>
    <row r="7" spans="1:18" ht="17.5" x14ac:dyDescent="0.35">
      <c r="A7" s="67"/>
      <c r="B7" s="41" t="s">
        <v>12</v>
      </c>
      <c r="C7" s="88">
        <v>12000</v>
      </c>
      <c r="D7" s="53">
        <f>SUMIF('25-26 Accounting'!F:F,B7,'25-26 Accounting'!G:G)</f>
        <v>0</v>
      </c>
      <c r="E7" s="44"/>
      <c r="F7" s="67"/>
      <c r="G7" s="67"/>
      <c r="H7" s="67"/>
      <c r="I7" s="67"/>
      <c r="J7" s="67"/>
      <c r="K7" s="134" t="s">
        <v>201</v>
      </c>
      <c r="L7" s="135">
        <f>D12</f>
        <v>0</v>
      </c>
      <c r="M7" s="145"/>
      <c r="N7" s="67"/>
      <c r="O7" s="67"/>
      <c r="P7" s="67"/>
      <c r="Q7" s="67"/>
      <c r="R7" s="67"/>
    </row>
    <row r="8" spans="1:18" ht="17.5" x14ac:dyDescent="0.35">
      <c r="A8" s="67"/>
      <c r="B8" s="41" t="s">
        <v>13</v>
      </c>
      <c r="C8" s="88">
        <v>1500</v>
      </c>
      <c r="D8" s="53">
        <f>SUMIF('25-26 Accounting'!F:F,B8,'25-26 Accounting'!G:G)</f>
        <v>0</v>
      </c>
      <c r="E8" s="44"/>
      <c r="F8" s="67"/>
      <c r="G8" s="67"/>
      <c r="H8" s="67"/>
      <c r="I8" s="67"/>
      <c r="J8" s="67"/>
      <c r="K8" s="134" t="s">
        <v>202</v>
      </c>
      <c r="L8" s="74"/>
      <c r="M8" s="145"/>
      <c r="N8" s="67"/>
      <c r="O8" s="67"/>
      <c r="P8" s="67"/>
      <c r="Q8" s="67"/>
      <c r="R8" s="67"/>
    </row>
    <row r="9" spans="1:18" ht="17.5" x14ac:dyDescent="0.35">
      <c r="A9" s="67"/>
      <c r="B9" s="41" t="s">
        <v>14</v>
      </c>
      <c r="C9" s="88">
        <v>7000</v>
      </c>
      <c r="D9" s="53">
        <f>SUMIF('25-26 Accounting'!F:F,B9,'25-26 Accounting'!G:G)</f>
        <v>0</v>
      </c>
      <c r="E9" s="44"/>
      <c r="F9" s="67"/>
      <c r="G9" s="60" t="s">
        <v>5</v>
      </c>
      <c r="H9" s="54">
        <f>D5</f>
        <v>0</v>
      </c>
      <c r="I9" s="55">
        <f>IFERROR(H9/$H$14,0)</f>
        <v>0</v>
      </c>
      <c r="J9" s="67"/>
      <c r="K9" s="134" t="s">
        <v>203</v>
      </c>
      <c r="L9" s="135">
        <f>I25</f>
        <v>0</v>
      </c>
      <c r="M9" s="145"/>
      <c r="N9" s="67"/>
      <c r="O9" s="67"/>
      <c r="P9" s="67"/>
      <c r="Q9" s="67"/>
      <c r="R9" s="67"/>
    </row>
    <row r="10" spans="1:18" ht="17.5" x14ac:dyDescent="0.35">
      <c r="A10" s="67"/>
      <c r="B10" s="41" t="s">
        <v>35</v>
      </c>
      <c r="C10" s="88">
        <v>1800</v>
      </c>
      <c r="D10" s="53">
        <f>SUMIF('25-26 Accounting'!F:F,B10,'25-26 Accounting'!G:G)</f>
        <v>0</v>
      </c>
      <c r="E10" s="44"/>
      <c r="F10" s="67"/>
      <c r="G10" s="61" t="s">
        <v>12</v>
      </c>
      <c r="H10" s="56">
        <f>D7</f>
        <v>0</v>
      </c>
      <c r="I10" s="57">
        <f>IFERROR(H10/$H$14,0)</f>
        <v>0</v>
      </c>
      <c r="J10" s="67"/>
      <c r="K10" s="134" t="s">
        <v>204</v>
      </c>
      <c r="L10" s="74"/>
      <c r="M10" s="145"/>
      <c r="N10" s="67"/>
      <c r="O10" s="67"/>
      <c r="P10" s="67"/>
      <c r="Q10" s="67"/>
      <c r="R10" s="67"/>
    </row>
    <row r="11" spans="1:18" x14ac:dyDescent="0.35">
      <c r="A11" s="67"/>
      <c r="B11" s="159" t="s">
        <v>195</v>
      </c>
      <c r="C11" s="157">
        <v>5000</v>
      </c>
      <c r="D11" s="53">
        <f>SUMIF('25-26 Accounting'!F:F,B11,'25-26 Accounting'!G:G)</f>
        <v>0</v>
      </c>
      <c r="E11" s="93"/>
      <c r="F11" s="67"/>
      <c r="G11" s="61" t="s">
        <v>14</v>
      </c>
      <c r="H11" s="56">
        <f>D9</f>
        <v>0</v>
      </c>
      <c r="I11" s="57">
        <f>IFERROR(H11/$H$14,0)</f>
        <v>0</v>
      </c>
      <c r="J11" s="67"/>
      <c r="K11" s="134" t="s">
        <v>205</v>
      </c>
      <c r="L11" s="135">
        <f>SUM(D5,D7:D9)</f>
        <v>0</v>
      </c>
      <c r="M11" s="145"/>
      <c r="N11" s="67"/>
      <c r="O11" s="67"/>
      <c r="P11" s="67"/>
      <c r="Q11" s="67"/>
      <c r="R11" s="67"/>
    </row>
    <row r="12" spans="1:18" x14ac:dyDescent="0.35">
      <c r="A12" s="67"/>
      <c r="B12" s="159" t="s">
        <v>229</v>
      </c>
      <c r="D12" s="53">
        <f>SUMIF('25-26 Accounting'!F:F,B12,'25-26 Accounting'!G:G)</f>
        <v>0</v>
      </c>
      <c r="E12" s="93"/>
      <c r="F12" s="67"/>
      <c r="G12" s="61" t="s">
        <v>45</v>
      </c>
      <c r="H12" s="56">
        <f>D10</f>
        <v>0</v>
      </c>
      <c r="I12" s="57">
        <f>IFERROR(H12/$H$14,0)</f>
        <v>0</v>
      </c>
      <c r="J12" s="67"/>
      <c r="K12" s="140"/>
      <c r="L12" s="58"/>
      <c r="M12" s="145"/>
      <c r="N12" s="67"/>
      <c r="O12" s="67"/>
      <c r="P12" s="67"/>
      <c r="Q12" s="67"/>
      <c r="R12" s="67"/>
    </row>
    <row r="13" spans="1:18" ht="18" x14ac:dyDescent="0.4">
      <c r="A13" s="67"/>
      <c r="B13" s="16" t="s">
        <v>15</v>
      </c>
      <c r="C13" s="17">
        <f>SUM(C5:C6)</f>
        <v>45300</v>
      </c>
      <c r="D13" s="18">
        <f>SUM(D5:D6)</f>
        <v>0</v>
      </c>
      <c r="E13" s="39">
        <f>D13/C13</f>
        <v>0</v>
      </c>
      <c r="F13" s="67"/>
      <c r="G13" s="61" t="s">
        <v>49</v>
      </c>
      <c r="H13" s="56">
        <f>D8</f>
        <v>0</v>
      </c>
      <c r="I13" s="57">
        <f>IFERROR(H13/$H$14,0)</f>
        <v>0</v>
      </c>
      <c r="J13" s="67"/>
      <c r="K13" s="139" t="s">
        <v>208</v>
      </c>
      <c r="L13" s="141">
        <f>SUM(L14:L24)</f>
        <v>0</v>
      </c>
      <c r="M13" s="146">
        <f>D43</f>
        <v>0</v>
      </c>
      <c r="N13" s="67"/>
      <c r="O13" s="67"/>
      <c r="P13" s="67"/>
      <c r="Q13" s="67"/>
      <c r="R13" s="67"/>
    </row>
    <row r="14" spans="1:18" ht="18" x14ac:dyDescent="0.4">
      <c r="A14" s="67"/>
      <c r="B14" s="20" t="s">
        <v>16</v>
      </c>
      <c r="C14" s="6"/>
      <c r="D14" s="7"/>
      <c r="E14" s="35"/>
      <c r="F14" s="67"/>
      <c r="G14" s="62" t="s">
        <v>15</v>
      </c>
      <c r="H14" s="63">
        <f>SUM(H9:H13)</f>
        <v>0</v>
      </c>
      <c r="I14" s="58"/>
      <c r="J14" s="67"/>
      <c r="K14" s="136" t="s">
        <v>209</v>
      </c>
      <c r="L14" s="135">
        <f>SUM(D24,D28,D38)</f>
        <v>0</v>
      </c>
      <c r="M14" s="144" t="str">
        <f>IF(L13=M13,"Valid")</f>
        <v>Valid</v>
      </c>
      <c r="N14" s="67"/>
      <c r="O14" s="67"/>
      <c r="P14" s="67"/>
      <c r="Q14" s="67"/>
      <c r="R14" s="67"/>
    </row>
    <row r="15" spans="1:18" ht="18" x14ac:dyDescent="0.4">
      <c r="A15" s="67"/>
      <c r="B15" s="11" t="s">
        <v>17</v>
      </c>
      <c r="C15" s="15">
        <f>SUM(C16:C23)</f>
        <v>3200</v>
      </c>
      <c r="D15" s="12">
        <f>SUM(D16:D23)</f>
        <v>0</v>
      </c>
      <c r="E15" s="40">
        <f>D15/C15</f>
        <v>0</v>
      </c>
      <c r="F15" s="67"/>
      <c r="G15" s="67"/>
      <c r="H15" s="67"/>
      <c r="I15" s="67"/>
      <c r="J15" s="67"/>
      <c r="K15" s="136" t="s">
        <v>217</v>
      </c>
      <c r="L15" s="135">
        <f>SUM(D34)</f>
        <v>0</v>
      </c>
      <c r="M15" s="61"/>
      <c r="N15" s="67"/>
      <c r="O15" s="67"/>
      <c r="P15" s="67"/>
      <c r="Q15" s="67"/>
      <c r="R15" s="67"/>
    </row>
    <row r="16" spans="1:18" ht="17.5" x14ac:dyDescent="0.35">
      <c r="A16" s="67"/>
      <c r="B16" s="41" t="s">
        <v>9</v>
      </c>
      <c r="C16" s="88">
        <v>1500</v>
      </c>
      <c r="D16" s="43">
        <f>ABS(SUMIF('25-26 Accounting'!F:F,B16,'25-26 Accounting'!G:G))</f>
        <v>0</v>
      </c>
      <c r="E16" s="44"/>
      <c r="F16" s="67"/>
      <c r="G16" s="60" t="s">
        <v>22</v>
      </c>
      <c r="H16" s="54">
        <f>D24</f>
        <v>0</v>
      </c>
      <c r="I16" s="55">
        <f>IFERROR(H16/$H$21,0)</f>
        <v>0</v>
      </c>
      <c r="J16" s="67"/>
      <c r="K16" s="136" t="s">
        <v>210</v>
      </c>
      <c r="L16" s="135">
        <f>D17</f>
        <v>0</v>
      </c>
      <c r="M16" s="61"/>
      <c r="N16" s="67"/>
      <c r="O16" s="67"/>
      <c r="P16" s="67"/>
      <c r="Q16" s="67"/>
      <c r="R16" s="67"/>
    </row>
    <row r="17" spans="1:18" ht="17.5" x14ac:dyDescent="0.35">
      <c r="A17" s="67"/>
      <c r="B17" s="41" t="s">
        <v>10</v>
      </c>
      <c r="C17" s="88">
        <v>850</v>
      </c>
      <c r="D17" s="43">
        <f>ABS(SUMIF('25-26 Accounting'!F:F,B17,'25-26 Accounting'!G:G))</f>
        <v>0</v>
      </c>
      <c r="E17" s="44"/>
      <c r="F17" s="67"/>
      <c r="G17" s="61" t="s">
        <v>50</v>
      </c>
      <c r="H17" s="56">
        <f>D28</f>
        <v>0</v>
      </c>
      <c r="I17" s="57">
        <f>IFERROR(H17/$H$21,0)</f>
        <v>0</v>
      </c>
      <c r="J17" s="67"/>
      <c r="K17" s="136" t="s">
        <v>197</v>
      </c>
      <c r="L17" s="135">
        <f>SUM(D20)</f>
        <v>0</v>
      </c>
      <c r="M17" s="61"/>
      <c r="N17" s="67"/>
      <c r="O17" s="67"/>
      <c r="P17" s="67"/>
      <c r="Q17" s="67"/>
      <c r="R17" s="67"/>
    </row>
    <row r="18" spans="1:18" ht="17.5" x14ac:dyDescent="0.35">
      <c r="A18" s="67"/>
      <c r="B18" s="41" t="s">
        <v>43</v>
      </c>
      <c r="C18" s="88">
        <v>320</v>
      </c>
      <c r="D18" s="43">
        <f>ABS(SUMIF('25-26 Accounting'!F:F,B18,'25-26 Accounting'!G:G))</f>
        <v>0</v>
      </c>
      <c r="E18" s="44"/>
      <c r="F18" s="67"/>
      <c r="G18" s="61" t="s">
        <v>47</v>
      </c>
      <c r="H18" s="56">
        <f>D15</f>
        <v>0</v>
      </c>
      <c r="I18" s="57">
        <f>IFERROR(H18/$H$21,0)</f>
        <v>0</v>
      </c>
      <c r="J18" s="67"/>
      <c r="K18" s="136" t="s">
        <v>211</v>
      </c>
      <c r="L18" s="135">
        <f>D19</f>
        <v>0</v>
      </c>
      <c r="M18" s="61"/>
      <c r="N18" s="67"/>
      <c r="O18" s="67"/>
      <c r="P18" s="67"/>
      <c r="Q18" s="67"/>
      <c r="R18" s="67"/>
    </row>
    <row r="19" spans="1:18" ht="17.5" x14ac:dyDescent="0.35">
      <c r="A19" s="67"/>
      <c r="B19" s="41" t="s">
        <v>176</v>
      </c>
      <c r="C19" s="88">
        <v>100</v>
      </c>
      <c r="D19" s="43">
        <f>ABS(SUMIF('25-26 Accounting'!F:F,B19,'25-26 Accounting'!G:G))</f>
        <v>0</v>
      </c>
      <c r="E19" s="44"/>
      <c r="F19" s="67"/>
      <c r="G19" s="61" t="s">
        <v>51</v>
      </c>
      <c r="H19" s="56">
        <f>D34</f>
        <v>0</v>
      </c>
      <c r="I19" s="57">
        <f>IFERROR(H19/$H$21,0)</f>
        <v>0</v>
      </c>
      <c r="J19" s="67"/>
      <c r="K19" s="136" t="s">
        <v>212</v>
      </c>
      <c r="L19" s="135">
        <f>D22</f>
        <v>0</v>
      </c>
      <c r="M19" s="61"/>
      <c r="N19" s="67"/>
      <c r="O19" s="67"/>
      <c r="P19" s="67"/>
      <c r="Q19" s="67"/>
      <c r="R19" s="67"/>
    </row>
    <row r="20" spans="1:18" x14ac:dyDescent="0.35">
      <c r="A20" s="67"/>
      <c r="B20" s="41" t="s">
        <v>197</v>
      </c>
      <c r="D20" s="43">
        <f>ABS(SUMIF('25-26 Accounting'!F:F,B20,'25-26 Accounting'!G:G))</f>
        <v>0</v>
      </c>
      <c r="E20" s="93"/>
      <c r="F20" s="67"/>
      <c r="G20" s="61" t="s">
        <v>46</v>
      </c>
      <c r="H20" s="56">
        <f>D38</f>
        <v>0</v>
      </c>
      <c r="I20" s="57">
        <f>IFERROR(H20/$H$21,0)</f>
        <v>0</v>
      </c>
      <c r="J20" s="67"/>
      <c r="K20" s="136" t="s">
        <v>213</v>
      </c>
      <c r="L20" s="135">
        <f>D21</f>
        <v>0</v>
      </c>
      <c r="M20" s="61"/>
      <c r="N20" s="67"/>
      <c r="O20" s="67"/>
      <c r="P20" s="67"/>
      <c r="Q20" s="67"/>
      <c r="R20" s="67"/>
    </row>
    <row r="21" spans="1:18" ht="17.5" x14ac:dyDescent="0.35">
      <c r="A21" s="67"/>
      <c r="B21" s="41" t="s">
        <v>237</v>
      </c>
      <c r="C21" s="88">
        <v>180</v>
      </c>
      <c r="D21" s="43">
        <f>ABS(SUMIF('25-26 Accounting'!F:F,B21,'25-26 Accounting'!G:G))</f>
        <v>0</v>
      </c>
      <c r="E21" s="44"/>
      <c r="F21" s="67"/>
      <c r="G21" s="64" t="s">
        <v>48</v>
      </c>
      <c r="H21" s="65">
        <f>SUM(H16:H20)</f>
        <v>0</v>
      </c>
      <c r="I21" s="58"/>
      <c r="J21" s="67"/>
      <c r="K21" s="136" t="s">
        <v>214</v>
      </c>
      <c r="L21" s="74"/>
      <c r="M21" s="61"/>
      <c r="N21" s="67"/>
      <c r="O21" s="67"/>
      <c r="P21" s="67"/>
      <c r="Q21" s="67"/>
      <c r="R21" s="67"/>
    </row>
    <row r="22" spans="1:18" ht="17.5" x14ac:dyDescent="0.35">
      <c r="A22" s="67"/>
      <c r="B22" s="41" t="s">
        <v>20</v>
      </c>
      <c r="C22" s="88">
        <v>150</v>
      </c>
      <c r="D22" s="43">
        <f>ABS(SUMIF('25-26 Accounting'!F:F,B22,'25-26 Accounting'!G:G))</f>
        <v>0</v>
      </c>
      <c r="E22" s="44"/>
      <c r="F22" s="67"/>
      <c r="G22" s="67"/>
      <c r="H22" s="67"/>
      <c r="I22" s="67"/>
      <c r="J22" s="67"/>
      <c r="K22" s="136" t="s">
        <v>215</v>
      </c>
      <c r="L22" s="74"/>
      <c r="M22" s="61"/>
      <c r="N22" s="67"/>
      <c r="O22" s="67"/>
      <c r="P22" s="67"/>
      <c r="Q22" s="67"/>
      <c r="R22" s="67"/>
    </row>
    <row r="23" spans="1:18" ht="17.5" x14ac:dyDescent="0.35">
      <c r="A23" s="67"/>
      <c r="B23" s="41" t="s">
        <v>21</v>
      </c>
      <c r="C23" s="88">
        <v>100</v>
      </c>
      <c r="D23" s="43">
        <f>ABS(SUMIF('25-26 Accounting'!F:F,B23,'25-26 Accounting'!G:G))</f>
        <v>0</v>
      </c>
      <c r="E23" s="44"/>
      <c r="F23" s="67"/>
      <c r="G23" s="67"/>
      <c r="H23" s="67"/>
      <c r="I23" s="67"/>
      <c r="J23" s="67"/>
      <c r="K23" s="136" t="s">
        <v>216</v>
      </c>
      <c r="L23" s="74"/>
      <c r="M23" s="61"/>
      <c r="N23" s="67"/>
      <c r="O23" s="67"/>
      <c r="P23" s="67"/>
      <c r="Q23" s="67"/>
      <c r="R23" s="67"/>
    </row>
    <row r="24" spans="1:18" ht="18" customHeight="1" x14ac:dyDescent="0.4">
      <c r="A24" s="67"/>
      <c r="B24" s="10" t="s">
        <v>22</v>
      </c>
      <c r="C24" s="59">
        <f>SUM(C25:C27)</f>
        <v>17000</v>
      </c>
      <c r="D24" s="8">
        <f>SUM(D25:D27)</f>
        <v>0</v>
      </c>
      <c r="E24" s="38">
        <f>D25/C25</f>
        <v>0</v>
      </c>
      <c r="F24" s="67"/>
      <c r="G24" s="19" t="s">
        <v>224</v>
      </c>
      <c r="H24" s="31"/>
      <c r="I24" s="132" t="s">
        <v>190</v>
      </c>
      <c r="J24" s="67"/>
      <c r="K24" s="137" t="s">
        <v>218</v>
      </c>
      <c r="L24" s="138">
        <f>D16</f>
        <v>0</v>
      </c>
      <c r="M24" s="108"/>
      <c r="N24" s="67"/>
      <c r="O24" s="67"/>
      <c r="P24" s="67"/>
      <c r="Q24" s="67"/>
      <c r="R24" s="67"/>
    </row>
    <row r="25" spans="1:18" ht="18" x14ac:dyDescent="0.4">
      <c r="A25" s="67"/>
      <c r="B25" s="92" t="s">
        <v>149</v>
      </c>
      <c r="C25" s="121">
        <v>10000</v>
      </c>
      <c r="D25" s="82">
        <f>ABS(SUMIF('25-26 Accounting'!F:F,B25,'25-26 Accounting'!G:G))</f>
        <v>0</v>
      </c>
      <c r="E25" s="51"/>
      <c r="F25" s="67"/>
      <c r="G25" s="24" t="s">
        <v>33</v>
      </c>
      <c r="H25" s="124">
        <f>H30+I25</f>
        <v>9863.26</v>
      </c>
      <c r="I25" s="123">
        <v>0</v>
      </c>
      <c r="J25" s="67"/>
      <c r="K25" s="147"/>
      <c r="L25" s="72"/>
      <c r="M25" s="73"/>
      <c r="N25" s="67"/>
      <c r="O25" s="67"/>
      <c r="P25" s="67"/>
      <c r="Q25" s="67"/>
      <c r="R25" s="67"/>
    </row>
    <row r="26" spans="1:18" ht="18" x14ac:dyDescent="0.4">
      <c r="A26" s="67"/>
      <c r="B26" s="92" t="s">
        <v>150</v>
      </c>
      <c r="C26" s="158">
        <v>5000</v>
      </c>
      <c r="D26" s="82">
        <f>ABS(SUMIF('25-26 Accounting'!F:F,B26,'25-26 Accounting'!G:G))</f>
        <v>0</v>
      </c>
      <c r="E26" s="93"/>
      <c r="F26" s="67"/>
      <c r="G26" s="27" t="s">
        <v>4</v>
      </c>
      <c r="H26" s="125">
        <f>H31+D13-D43</f>
        <v>966.33</v>
      </c>
      <c r="I26" s="67"/>
      <c r="J26" s="67"/>
      <c r="K26" s="149" t="s">
        <v>231</v>
      </c>
      <c r="L26" s="150">
        <f>SUM(H30:H31)</f>
        <v>10829.59</v>
      </c>
      <c r="M26" s="73"/>
      <c r="N26" s="67"/>
      <c r="O26" s="67"/>
      <c r="P26" s="67"/>
      <c r="Q26" s="67"/>
      <c r="R26" s="67"/>
    </row>
    <row r="27" spans="1:18" ht="17.5" x14ac:dyDescent="0.35">
      <c r="A27" s="67"/>
      <c r="B27" s="41" t="s">
        <v>41</v>
      </c>
      <c r="C27" s="168">
        <v>2000</v>
      </c>
      <c r="D27" s="82">
        <f>ABS(SUMIF('25-26 Accounting'!F:F,B27,'25-26 Accounting'!G:G))</f>
        <v>0</v>
      </c>
      <c r="E27" s="52"/>
      <c r="F27" s="67"/>
      <c r="G27" s="67"/>
      <c r="H27" s="67"/>
      <c r="I27" s="67"/>
      <c r="J27" s="67"/>
      <c r="K27" s="148" t="s">
        <v>232</v>
      </c>
      <c r="L27" s="151">
        <f>SUM(H25:H26)</f>
        <v>10829.59</v>
      </c>
      <c r="M27" s="152" t="str">
        <f>IF((L26+L5-L13)=L27, "Valid")</f>
        <v>Valid</v>
      </c>
      <c r="N27" s="67"/>
      <c r="O27" s="67"/>
      <c r="P27" s="67"/>
      <c r="Q27" s="67"/>
      <c r="R27" s="67"/>
    </row>
    <row r="28" spans="1:18" ht="18" x14ac:dyDescent="0.4">
      <c r="A28" s="67"/>
      <c r="B28" s="9" t="s">
        <v>53</v>
      </c>
      <c r="C28" s="13">
        <f>SUM(C29:C33)</f>
        <v>17925</v>
      </c>
      <c r="D28" s="8">
        <f>SUM(D29:D33)</f>
        <v>0</v>
      </c>
      <c r="E28" s="38">
        <f>D28/C28</f>
        <v>0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1:18" ht="18" x14ac:dyDescent="0.4">
      <c r="A29" s="67"/>
      <c r="B29" s="41" t="s">
        <v>8</v>
      </c>
      <c r="C29" s="88">
        <v>6500</v>
      </c>
      <c r="D29" s="43">
        <f>ABS(SUMIF('25-26 Accounting'!F:F,B29,'25-26 Accounting'!G:G))</f>
        <v>0</v>
      </c>
      <c r="E29" s="44"/>
      <c r="F29" s="67"/>
      <c r="G29" s="19" t="s">
        <v>222</v>
      </c>
      <c r="H29" s="58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ht="18" x14ac:dyDescent="0.4">
      <c r="A30" s="67"/>
      <c r="B30" s="41" t="s">
        <v>7</v>
      </c>
      <c r="C30" s="88">
        <v>6500</v>
      </c>
      <c r="D30" s="43">
        <f>ABS(SUMIF('25-26 Accounting'!F:F,B30,'25-26 Accounting'!G:G))</f>
        <v>0</v>
      </c>
      <c r="E30" s="44"/>
      <c r="F30" s="67"/>
      <c r="G30" s="24" t="s">
        <v>33</v>
      </c>
      <c r="H30" s="26">
        <v>9863.26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1:18" ht="18" x14ac:dyDescent="0.4">
      <c r="A31" s="67"/>
      <c r="B31" s="41" t="s">
        <v>23</v>
      </c>
      <c r="C31" s="88">
        <v>2500</v>
      </c>
      <c r="D31" s="43">
        <f>ABS(SUMIF('25-26 Accounting'!F:F,B31,'25-26 Accounting'!G:G))</f>
        <v>0</v>
      </c>
      <c r="E31" s="44"/>
      <c r="F31" s="67"/>
      <c r="G31" s="27" t="s">
        <v>4</v>
      </c>
      <c r="H31" s="29">
        <v>966.33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1:18" ht="17.5" x14ac:dyDescent="0.35">
      <c r="A32" s="67"/>
      <c r="B32" s="41" t="s">
        <v>27</v>
      </c>
      <c r="C32" s="88">
        <v>500</v>
      </c>
      <c r="D32" s="43">
        <f>ABS(SUMIF('25-26 Accounting'!F:F,B32,'25-26 Accounting'!G:G))</f>
        <v>0</v>
      </c>
      <c r="E32" s="44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1:18" ht="17.5" x14ac:dyDescent="0.35">
      <c r="A33" s="67"/>
      <c r="B33" s="41" t="s">
        <v>24</v>
      </c>
      <c r="C33" s="88">
        <v>1925</v>
      </c>
      <c r="D33" s="43">
        <f>ABS(SUMIF('25-26 Accounting'!F:F,B33,'25-26 Accounting'!G:G))</f>
        <v>0</v>
      </c>
      <c r="E33" s="44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1:18" ht="18" x14ac:dyDescent="0.4">
      <c r="A34" s="67"/>
      <c r="B34" s="9" t="s">
        <v>52</v>
      </c>
      <c r="C34" s="59">
        <f>SUM(C35:C37)</f>
        <v>5000</v>
      </c>
      <c r="D34" s="8">
        <f>SUM(D35:D37)</f>
        <v>0</v>
      </c>
      <c r="E34" s="38">
        <f>D34/C34</f>
        <v>0</v>
      </c>
      <c r="F34" s="67"/>
      <c r="G34" s="67"/>
      <c r="H34" s="67"/>
      <c r="I34" s="67"/>
      <c r="J34" s="67"/>
      <c r="K34" s="67"/>
      <c r="L34" s="67"/>
      <c r="M34" s="67"/>
      <c r="N34" s="68"/>
      <c r="O34" s="67"/>
      <c r="P34" s="67"/>
      <c r="Q34" s="67"/>
      <c r="R34" s="67"/>
    </row>
    <row r="35" spans="1:18" ht="17.5" x14ac:dyDescent="0.35">
      <c r="A35" s="67"/>
      <c r="B35" s="41" t="s">
        <v>25</v>
      </c>
      <c r="C35" s="88">
        <v>500</v>
      </c>
      <c r="D35" s="81">
        <f>ABS(SUMIF('25-26 Accounting'!F:F,B35,'25-26 Accounting'!G:G))</f>
        <v>0</v>
      </c>
      <c r="E35" s="44"/>
      <c r="F35" s="67"/>
      <c r="G35" s="68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ht="17.5" x14ac:dyDescent="0.35">
      <c r="A36" s="67"/>
      <c r="B36" s="41" t="s">
        <v>42</v>
      </c>
      <c r="C36" s="158">
        <v>1500</v>
      </c>
      <c r="D36" s="81">
        <f>ABS(SUMIF('25-26 Accounting'!F:F,B36,'25-26 Accounting'!G:G))</f>
        <v>0</v>
      </c>
      <c r="E36" s="44"/>
      <c r="F36" s="67"/>
      <c r="G36" s="67"/>
      <c r="H36" s="67"/>
      <c r="I36" s="68"/>
      <c r="J36" s="67"/>
      <c r="K36" s="67"/>
      <c r="L36" s="67"/>
      <c r="M36" s="67"/>
      <c r="N36" s="67"/>
      <c r="O36" s="67"/>
      <c r="P36" s="67"/>
      <c r="Q36" s="67"/>
      <c r="R36" s="67"/>
    </row>
    <row r="37" spans="1:18" ht="17.5" x14ac:dyDescent="0.35">
      <c r="A37" s="67"/>
      <c r="B37" s="41" t="s">
        <v>37</v>
      </c>
      <c r="C37" s="88">
        <v>3000</v>
      </c>
      <c r="D37" s="81">
        <f>ABS(SUMIF('25-26 Accounting'!F:F,B37,'25-26 Accounting'!G:G))</f>
        <v>0</v>
      </c>
      <c r="E37" s="44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1:18" ht="18" x14ac:dyDescent="0.4">
      <c r="A38" s="67"/>
      <c r="B38" s="9" t="s">
        <v>28</v>
      </c>
      <c r="C38" s="13">
        <f>SUM(C39:C42)</f>
        <v>1500</v>
      </c>
      <c r="D38" s="8">
        <f>SUM(D39:D42)</f>
        <v>0</v>
      </c>
      <c r="E38" s="38">
        <f>D38/C38</f>
        <v>0</v>
      </c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</row>
    <row r="39" spans="1:18" ht="17.5" x14ac:dyDescent="0.35">
      <c r="A39" s="67"/>
      <c r="B39" s="41" t="s">
        <v>36</v>
      </c>
      <c r="C39" s="88">
        <v>500</v>
      </c>
      <c r="D39" s="43">
        <f>ABS(SUMIF('25-26 Accounting'!F:F,B39,'25-26 Accounting'!G:G))</f>
        <v>0</v>
      </c>
      <c r="E39" s="44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  <row r="40" spans="1:18" ht="17.5" x14ac:dyDescent="0.35">
      <c r="A40" s="67"/>
      <c r="B40" s="41" t="s">
        <v>29</v>
      </c>
      <c r="C40" s="88">
        <v>500</v>
      </c>
      <c r="D40" s="43">
        <f>ABS(SUMIF('25-26 Accounting'!F:F,B40,'25-26 Accounting'!G:G))</f>
        <v>0</v>
      </c>
      <c r="E40" s="44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</row>
    <row r="41" spans="1:18" ht="17.5" x14ac:dyDescent="0.35">
      <c r="A41" s="67"/>
      <c r="B41" s="159" t="s">
        <v>194</v>
      </c>
      <c r="C41" s="88">
        <v>250</v>
      </c>
      <c r="D41" s="43">
        <f>ABS(SUMIF('25-26 Accounting'!F:F,B41,'25-26 Accounting'!G:G))</f>
        <v>0</v>
      </c>
      <c r="E41" s="44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1:18" ht="17.5" x14ac:dyDescent="0.35">
      <c r="A42" s="67"/>
      <c r="B42" s="41" t="s">
        <v>31</v>
      </c>
      <c r="C42" s="88">
        <v>250</v>
      </c>
      <c r="D42" s="43">
        <f>ABS(SUMIF('25-26 Accounting'!F:F,B42,'25-26 Accounting'!G:G))</f>
        <v>0</v>
      </c>
      <c r="E42" s="44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</row>
    <row r="43" spans="1:18" ht="18" x14ac:dyDescent="0.4">
      <c r="A43" s="67"/>
      <c r="B43" s="21" t="s">
        <v>34</v>
      </c>
      <c r="C43" s="22">
        <f>SUM(C38,C34,C28,C24,C15)</f>
        <v>44625</v>
      </c>
      <c r="D43" s="23">
        <f>SUM(D15,D28,D34,D38,D24)</f>
        <v>0</v>
      </c>
      <c r="E43" s="36">
        <f>D43/C43</f>
        <v>0</v>
      </c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1:18" x14ac:dyDescent="0.3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1:18" x14ac:dyDescent="0.3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1:18" x14ac:dyDescent="0.35">
      <c r="A46" s="67"/>
      <c r="B46" s="67"/>
      <c r="C46" s="67"/>
      <c r="D46" s="67"/>
      <c r="E46" s="67"/>
      <c r="F46" s="67"/>
      <c r="G46" s="68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1:18" x14ac:dyDescent="0.3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1:18" x14ac:dyDescent="0.3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</row>
    <row r="49" spans="1:18" x14ac:dyDescent="0.3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</row>
    <row r="50" spans="1:18" x14ac:dyDescent="0.3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</row>
    <row r="51" spans="1:18" x14ac:dyDescent="0.3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1:18" x14ac:dyDescent="0.3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</row>
    <row r="53" spans="1:18" x14ac:dyDescent="0.35">
      <c r="A53" s="67"/>
      <c r="B53" s="67"/>
      <c r="C53" s="67"/>
      <c r="D53" s="67"/>
      <c r="E53" s="67"/>
      <c r="F53" s="67"/>
      <c r="G53" s="68" t="s">
        <v>191</v>
      </c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1:18" x14ac:dyDescent="0.3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</row>
    <row r="55" spans="1:18" x14ac:dyDescent="0.3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</row>
    <row r="56" spans="1:18" x14ac:dyDescent="0.3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1:18" x14ac:dyDescent="0.3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1:18" x14ac:dyDescent="0.3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1:18" x14ac:dyDescent="0.3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1:18" x14ac:dyDescent="0.3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1:18" x14ac:dyDescent="0.3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  <row r="62" spans="1:18" x14ac:dyDescent="0.3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</row>
  </sheetData>
  <conditionalFormatting sqref="I9:I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{FA22FDD2-51F1-445C-8850-A50C9B17BB12}</x14:id>
        </ext>
      </extLst>
    </cfRule>
  </conditionalFormatting>
  <conditionalFormatting sqref="I16:I20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{F7119298-5D47-473E-B91C-A755296B2BC6}</x14:id>
        </ext>
      </extLst>
    </cfRule>
  </conditionalFormatting>
  <dataValidations count="2">
    <dataValidation allowBlank="1" showErrorMessage="1" promptTitle="Direct donation" prompt="We previously put together a special basket and have changed to doing a direct donation" sqref="B41" xr:uid="{A9AA82EF-C587-4D94-A56B-C333582905B3}"/>
    <dataValidation allowBlank="1" showErrorMessage="1" promptTitle="Increase $1000" prompt="Original amount was $500, voting to increase $1000" sqref="C36" xr:uid="{D38BE6D7-7360-4A55-8D00-883F29B7B154}"/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22FDD2-51F1-445C-8850-A50C9B17BB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I9:I13</xm:sqref>
        </x14:conditionalFormatting>
        <x14:conditionalFormatting xmlns:xm="http://schemas.microsoft.com/office/excel/2006/main">
          <x14:cfRule type="dataBar" id="{F7119298-5D47-473E-B91C-A755296B2BC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I16:I20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BEF0B-22F1-4D23-A907-F911F15EC256}">
  <sheetPr codeName="Sheet7"/>
  <dimension ref="A1:K161"/>
  <sheetViews>
    <sheetView workbookViewId="0">
      <selection activeCell="F10" sqref="F10"/>
    </sheetView>
  </sheetViews>
  <sheetFormatPr defaultColWidth="11.15234375" defaultRowHeight="15.5" x14ac:dyDescent="0.35"/>
  <cols>
    <col min="1" max="1" width="11.15234375" style="4"/>
    <col min="2" max="3" width="8.61328125" style="119" customWidth="1"/>
    <col min="4" max="4" width="39.4609375" customWidth="1"/>
    <col min="5" max="5" width="19.84375" customWidth="1"/>
    <col min="6" max="6" width="21.3046875" customWidth="1"/>
    <col min="7" max="7" width="13.4609375" style="80" customWidth="1"/>
    <col min="8" max="8" width="17.15234375" style="80" customWidth="1"/>
    <col min="9" max="9" width="12.3046875" customWidth="1"/>
    <col min="10" max="10" width="19.23046875" customWidth="1"/>
    <col min="11" max="11" width="38.4609375" bestFit="1" customWidth="1"/>
  </cols>
  <sheetData>
    <row r="1" spans="1:11" x14ac:dyDescent="0.35">
      <c r="A1" s="91" t="s">
        <v>0</v>
      </c>
      <c r="B1" s="117" t="s">
        <v>184</v>
      </c>
      <c r="C1" s="118" t="s">
        <v>225</v>
      </c>
      <c r="D1" s="1" t="s">
        <v>137</v>
      </c>
      <c r="E1" s="2" t="s">
        <v>65</v>
      </c>
      <c r="F1" s="1" t="s">
        <v>1</v>
      </c>
      <c r="G1" s="79" t="s">
        <v>2</v>
      </c>
      <c r="H1" s="126" t="s">
        <v>226</v>
      </c>
      <c r="I1" s="2"/>
      <c r="J1" s="120"/>
    </row>
    <row r="2" spans="1:11" x14ac:dyDescent="0.35">
      <c r="A2" s="91">
        <v>45504</v>
      </c>
      <c r="C2" s="130"/>
      <c r="D2" s="2" t="s">
        <v>227</v>
      </c>
      <c r="E2" s="3"/>
      <c r="F2" s="2"/>
      <c r="G2" s="127"/>
      <c r="H2" s="131">
        <v>966.33</v>
      </c>
      <c r="I2" s="2"/>
      <c r="J2" s="120"/>
    </row>
    <row r="3" spans="1:11" x14ac:dyDescent="0.35">
      <c r="A3" s="89">
        <v>45513</v>
      </c>
      <c r="B3" s="118"/>
      <c r="C3" s="118"/>
      <c r="D3" s="1" t="s">
        <v>14</v>
      </c>
      <c r="E3" s="3" t="str">
        <f>_xlfn.XLOOKUP(Table135[[#This Row],[Category]],$K$4:$K$34,$J$4:$J$34,FALSE)</f>
        <v>Income</v>
      </c>
      <c r="F3" s="2" t="s">
        <v>14</v>
      </c>
      <c r="G3" s="127"/>
      <c r="H3" s="127">
        <f t="shared" ref="H3:H66" si="0">H2+G3</f>
        <v>966.33</v>
      </c>
      <c r="I3" s="1"/>
    </row>
    <row r="4" spans="1:11" x14ac:dyDescent="0.35">
      <c r="A4" s="91"/>
      <c r="B4" s="117"/>
      <c r="C4" s="117"/>
      <c r="D4" s="1"/>
      <c r="E4" s="3" t="b">
        <f>_xlfn.XLOOKUP(Table135[[#This Row],[Category]],$K$4:$K$34,$J$4:$J$34,FALSE)</f>
        <v>0</v>
      </c>
      <c r="F4" s="2"/>
      <c r="G4" s="127"/>
      <c r="H4" s="127">
        <f t="shared" si="0"/>
        <v>966.33</v>
      </c>
      <c r="I4" s="1"/>
      <c r="J4" t="s">
        <v>44</v>
      </c>
      <c r="K4" t="s">
        <v>5</v>
      </c>
    </row>
    <row r="5" spans="1:11" x14ac:dyDescent="0.35">
      <c r="A5" s="91"/>
      <c r="B5" s="117"/>
      <c r="C5" s="117"/>
      <c r="D5" s="1"/>
      <c r="E5" s="3" t="b">
        <f>_xlfn.XLOOKUP(Table135[[#This Row],[Category]],$K$4:$K$34,$J$4:$J$34,FALSE)</f>
        <v>0</v>
      </c>
      <c r="F5" s="2"/>
      <c r="G5" s="127"/>
      <c r="H5" s="127">
        <f t="shared" si="0"/>
        <v>966.33</v>
      </c>
      <c r="I5" s="1"/>
      <c r="J5" t="s">
        <v>44</v>
      </c>
      <c r="K5" t="s">
        <v>12</v>
      </c>
    </row>
    <row r="6" spans="1:11" x14ac:dyDescent="0.35">
      <c r="A6" s="91"/>
      <c r="B6" s="117"/>
      <c r="C6" s="117"/>
      <c r="D6" s="2"/>
      <c r="E6" s="3" t="b">
        <f>_xlfn.XLOOKUP(Table135[[#This Row],[Category]],$K$4:$K$34,$J$4:$J$34,FALSE)</f>
        <v>0</v>
      </c>
      <c r="F6" s="2"/>
      <c r="G6" s="127"/>
      <c r="H6" s="127">
        <f t="shared" si="0"/>
        <v>966.33</v>
      </c>
      <c r="I6" s="1"/>
      <c r="J6" t="s">
        <v>44</v>
      </c>
      <c r="K6" t="s">
        <v>13</v>
      </c>
    </row>
    <row r="7" spans="1:11" x14ac:dyDescent="0.35">
      <c r="D7" s="1"/>
      <c r="E7" s="3" t="b">
        <f>_xlfn.XLOOKUP(Table135[[#This Row],[Category]],$K$4:$K$34,$J$4:$J$34,FALSE)</f>
        <v>0</v>
      </c>
      <c r="F7" s="2"/>
      <c r="G7" s="128"/>
      <c r="H7" s="127">
        <f t="shared" si="0"/>
        <v>966.33</v>
      </c>
      <c r="I7" s="1"/>
      <c r="J7" t="s">
        <v>44</v>
      </c>
      <c r="K7" t="s">
        <v>14</v>
      </c>
    </row>
    <row r="8" spans="1:11" x14ac:dyDescent="0.35">
      <c r="D8" s="1"/>
      <c r="E8" s="3" t="b">
        <f>_xlfn.XLOOKUP(Table135[[#This Row],[Category]],$K$4:$K$34,$J$4:$J$34,FALSE)</f>
        <v>0</v>
      </c>
      <c r="F8" s="2"/>
      <c r="G8" s="128"/>
      <c r="H8" s="127">
        <f t="shared" si="0"/>
        <v>966.33</v>
      </c>
      <c r="I8" s="1"/>
      <c r="J8" t="s">
        <v>44</v>
      </c>
      <c r="K8" t="s">
        <v>35</v>
      </c>
    </row>
    <row r="9" spans="1:11" x14ac:dyDescent="0.35">
      <c r="D9" s="2"/>
      <c r="E9" s="3" t="b">
        <f>_xlfn.XLOOKUP(Table135[[#This Row],[Category]],$K$4:$K$34,$J$4:$J$34,FALSE)</f>
        <v>0</v>
      </c>
      <c r="F9" s="2"/>
      <c r="G9" s="128"/>
      <c r="H9" s="127">
        <f t="shared" si="0"/>
        <v>966.33</v>
      </c>
      <c r="I9" s="1"/>
      <c r="J9" s="3" t="s">
        <v>44</v>
      </c>
      <c r="K9" s="3" t="s">
        <v>195</v>
      </c>
    </row>
    <row r="10" spans="1:11" x14ac:dyDescent="0.35">
      <c r="D10" s="1"/>
      <c r="E10" s="3" t="b">
        <f>_xlfn.XLOOKUP(Table135[[#This Row],[Category]],$K$4:$K$34,$J$4:$J$34,FALSE)</f>
        <v>0</v>
      </c>
      <c r="F10" s="2"/>
      <c r="G10" s="128"/>
      <c r="H10" s="127">
        <f t="shared" si="0"/>
        <v>966.33</v>
      </c>
      <c r="I10" s="1"/>
      <c r="J10" s="3" t="s">
        <v>44</v>
      </c>
      <c r="K10" s="3" t="s">
        <v>229</v>
      </c>
    </row>
    <row r="11" spans="1:11" x14ac:dyDescent="0.35">
      <c r="A11" s="91"/>
      <c r="B11" s="117"/>
      <c r="C11" s="117"/>
      <c r="D11" s="1"/>
      <c r="E11" s="3" t="b">
        <f>_xlfn.XLOOKUP(Table135[[#This Row],[Category]],$K$4:$K$34,$J$4:$J$34,FALSE)</f>
        <v>0</v>
      </c>
      <c r="F11" s="2"/>
      <c r="G11" s="127"/>
      <c r="H11" s="127">
        <f t="shared" si="0"/>
        <v>966.33</v>
      </c>
      <c r="I11" s="1"/>
      <c r="J11" t="s">
        <v>6</v>
      </c>
      <c r="K11" t="s">
        <v>9</v>
      </c>
    </row>
    <row r="12" spans="1:11" x14ac:dyDescent="0.35">
      <c r="E12" s="3" t="b">
        <f>_xlfn.XLOOKUP(Table135[[#This Row],[Category]],$K$4:$K$34,$J$4:$J$34,FALSE)</f>
        <v>0</v>
      </c>
      <c r="F12" s="2"/>
      <c r="G12" s="128"/>
      <c r="H12" s="127">
        <f t="shared" si="0"/>
        <v>966.33</v>
      </c>
      <c r="I12" s="1"/>
      <c r="J12" t="s">
        <v>6</v>
      </c>
      <c r="K12" t="s">
        <v>10</v>
      </c>
    </row>
    <row r="13" spans="1:11" x14ac:dyDescent="0.35">
      <c r="D13" s="1"/>
      <c r="E13" s="3" t="b">
        <f>_xlfn.XLOOKUP(Table135[[#This Row],[Category]],$K$4:$K$34,$J$4:$J$34,FALSE)</f>
        <v>0</v>
      </c>
      <c r="F13" s="2"/>
      <c r="G13" s="128"/>
      <c r="H13" s="127">
        <f t="shared" si="0"/>
        <v>966.33</v>
      </c>
      <c r="I13" s="1"/>
      <c r="J13" t="s">
        <v>6</v>
      </c>
      <c r="K13" t="s">
        <v>43</v>
      </c>
    </row>
    <row r="14" spans="1:11" x14ac:dyDescent="0.35">
      <c r="D14" s="1"/>
      <c r="E14" s="3" t="b">
        <f>_xlfn.XLOOKUP(Table135[[#This Row],[Category]],$K$4:$K$34,$J$4:$J$34,FALSE)</f>
        <v>0</v>
      </c>
      <c r="F14" s="2"/>
      <c r="G14" s="128"/>
      <c r="H14" s="127">
        <f t="shared" si="0"/>
        <v>966.33</v>
      </c>
      <c r="I14" s="1"/>
      <c r="J14" t="s">
        <v>6</v>
      </c>
      <c r="K14" t="s">
        <v>176</v>
      </c>
    </row>
    <row r="15" spans="1:11" x14ac:dyDescent="0.35">
      <c r="D15" s="2"/>
      <c r="E15" s="3" t="b">
        <f>_xlfn.XLOOKUP(Table135[[#This Row],[Category]],$K$4:$K$34,$J$4:$J$34,FALSE)</f>
        <v>0</v>
      </c>
      <c r="F15" s="2"/>
      <c r="G15" s="128"/>
      <c r="H15" s="127">
        <f t="shared" si="0"/>
        <v>966.33</v>
      </c>
      <c r="I15" s="1"/>
      <c r="J15" t="s">
        <v>6</v>
      </c>
      <c r="K15" s="3" t="s">
        <v>237</v>
      </c>
    </row>
    <row r="16" spans="1:11" x14ac:dyDescent="0.35">
      <c r="A16" s="91"/>
      <c r="B16" s="117"/>
      <c r="C16" s="117"/>
      <c r="D16" s="1"/>
      <c r="E16" s="3" t="b">
        <f>_xlfn.XLOOKUP(Table135[[#This Row],[Category]],$K$4:$K$34,$J$4:$J$34,FALSE)</f>
        <v>0</v>
      </c>
      <c r="F16" s="2"/>
      <c r="G16" s="127"/>
      <c r="H16" s="127">
        <f t="shared" si="0"/>
        <v>966.33</v>
      </c>
      <c r="I16" s="1"/>
      <c r="J16" t="s">
        <v>6</v>
      </c>
      <c r="K16" t="s">
        <v>20</v>
      </c>
    </row>
    <row r="17" spans="1:11" x14ac:dyDescent="0.35">
      <c r="A17" s="91"/>
      <c r="B17" s="117"/>
      <c r="C17" s="117"/>
      <c r="D17" s="1"/>
      <c r="E17" s="3" t="b">
        <f>_xlfn.XLOOKUP(Table135[[#This Row],[Category]],$K$4:$K$34,$J$4:$J$34,FALSE)</f>
        <v>0</v>
      </c>
      <c r="F17" s="2"/>
      <c r="G17" s="127"/>
      <c r="H17" s="127">
        <f t="shared" si="0"/>
        <v>966.33</v>
      </c>
      <c r="I17" s="1"/>
      <c r="J17" t="s">
        <v>6</v>
      </c>
      <c r="K17" t="s">
        <v>21</v>
      </c>
    </row>
    <row r="18" spans="1:11" x14ac:dyDescent="0.35">
      <c r="A18" s="91"/>
      <c r="B18" s="117"/>
      <c r="C18" s="117"/>
      <c r="D18" s="1"/>
      <c r="E18" s="3" t="b">
        <f>_xlfn.XLOOKUP(Table135[[#This Row],[Category]],$K$4:$K$34,$J$4:$J$34,FALSE)</f>
        <v>0</v>
      </c>
      <c r="F18" s="2"/>
      <c r="G18" s="127"/>
      <c r="H18" s="127">
        <f t="shared" si="0"/>
        <v>966.33</v>
      </c>
      <c r="I18" s="1"/>
      <c r="J18" t="s">
        <v>6</v>
      </c>
      <c r="K18" t="s">
        <v>197</v>
      </c>
    </row>
    <row r="19" spans="1:11" x14ac:dyDescent="0.35">
      <c r="A19" s="91"/>
      <c r="B19" s="117"/>
      <c r="C19" s="117"/>
      <c r="D19" s="1"/>
      <c r="E19" s="3" t="b">
        <f>_xlfn.XLOOKUP(Table135[[#This Row],[Category]],$K$4:$K$34,$J$4:$J$34,FALSE)</f>
        <v>0</v>
      </c>
      <c r="F19" s="2"/>
      <c r="G19" s="127"/>
      <c r="H19" s="127">
        <f t="shared" si="0"/>
        <v>966.33</v>
      </c>
      <c r="I19" s="1"/>
      <c r="J19" t="s">
        <v>22</v>
      </c>
      <c r="K19" s="3" t="s">
        <v>149</v>
      </c>
    </row>
    <row r="20" spans="1:11" x14ac:dyDescent="0.35">
      <c r="A20" s="91"/>
      <c r="B20" s="117"/>
      <c r="C20" s="117"/>
      <c r="D20" s="1"/>
      <c r="E20" s="3" t="b">
        <f>_xlfn.XLOOKUP(Table135[[#This Row],[Category]],$K$4:$K$34,$J$4:$J$34,FALSE)</f>
        <v>0</v>
      </c>
      <c r="F20" s="2"/>
      <c r="G20" s="127"/>
      <c r="H20" s="127">
        <f t="shared" si="0"/>
        <v>966.33</v>
      </c>
      <c r="J20" t="s">
        <v>22</v>
      </c>
      <c r="K20" s="3" t="s">
        <v>150</v>
      </c>
    </row>
    <row r="21" spans="1:11" x14ac:dyDescent="0.35">
      <c r="A21" s="91"/>
      <c r="B21" s="117"/>
      <c r="C21" s="117"/>
      <c r="D21" s="2"/>
      <c r="E21" s="3" t="b">
        <f>_xlfn.XLOOKUP(Table135[[#This Row],[Category]],$K$4:$K$34,$J$4:$J$34,FALSE)</f>
        <v>0</v>
      </c>
      <c r="F21" s="2"/>
      <c r="G21" s="127"/>
      <c r="H21" s="127">
        <f t="shared" si="0"/>
        <v>966.33</v>
      </c>
      <c r="J21" t="s">
        <v>22</v>
      </c>
      <c r="K21" t="s">
        <v>41</v>
      </c>
    </row>
    <row r="22" spans="1:11" x14ac:dyDescent="0.35">
      <c r="A22" s="91"/>
      <c r="B22" s="117"/>
      <c r="C22" s="117"/>
      <c r="D22" s="1"/>
      <c r="E22" s="3" t="b">
        <f>_xlfn.XLOOKUP(Table135[[#This Row],[Category]],$K$4:$K$34,$J$4:$J$34,FALSE)</f>
        <v>0</v>
      </c>
      <c r="F22" s="2"/>
      <c r="G22" s="127"/>
      <c r="H22" s="127">
        <f t="shared" si="0"/>
        <v>966.33</v>
      </c>
      <c r="J22" s="3" t="s">
        <v>66</v>
      </c>
      <c r="K22" t="s">
        <v>8</v>
      </c>
    </row>
    <row r="23" spans="1:11" x14ac:dyDescent="0.35">
      <c r="D23" s="1"/>
      <c r="E23" s="3" t="b">
        <f>_xlfn.XLOOKUP(Table135[[#This Row],[Category]],$K$4:$K$34,$J$4:$J$34,FALSE)</f>
        <v>0</v>
      </c>
      <c r="F23" s="2"/>
      <c r="G23" s="128"/>
      <c r="H23" s="127">
        <f t="shared" si="0"/>
        <v>966.33</v>
      </c>
      <c r="J23" s="3" t="s">
        <v>66</v>
      </c>
      <c r="K23" t="s">
        <v>7</v>
      </c>
    </row>
    <row r="24" spans="1:11" x14ac:dyDescent="0.35">
      <c r="A24" s="91"/>
      <c r="B24" s="117"/>
      <c r="C24" s="117"/>
      <c r="D24" s="1"/>
      <c r="E24" s="3" t="b">
        <f>_xlfn.XLOOKUP(Table135[[#This Row],[Category]],$K$4:$K$34,$J$4:$J$34,FALSE)</f>
        <v>0</v>
      </c>
      <c r="F24" s="2"/>
      <c r="G24" s="127"/>
      <c r="H24" s="127">
        <f t="shared" si="0"/>
        <v>966.33</v>
      </c>
      <c r="J24" s="3" t="s">
        <v>66</v>
      </c>
      <c r="K24" t="s">
        <v>23</v>
      </c>
    </row>
    <row r="25" spans="1:11" x14ac:dyDescent="0.35">
      <c r="A25" s="91"/>
      <c r="B25" s="117"/>
      <c r="C25" s="117"/>
      <c r="D25" s="1"/>
      <c r="E25" s="3" t="b">
        <f>_xlfn.XLOOKUP(Table135[[#This Row],[Category]],$K$4:$K$34,$J$4:$J$34,FALSE)</f>
        <v>0</v>
      </c>
      <c r="F25" s="2"/>
      <c r="G25" s="127"/>
      <c r="H25" s="127">
        <f t="shared" si="0"/>
        <v>966.33</v>
      </c>
      <c r="J25" s="3" t="s">
        <v>66</v>
      </c>
      <c r="K25" t="s">
        <v>24</v>
      </c>
    </row>
    <row r="26" spans="1:11" x14ac:dyDescent="0.35">
      <c r="A26" s="91"/>
      <c r="B26" s="117"/>
      <c r="C26" s="117"/>
      <c r="D26" s="2"/>
      <c r="E26" s="3" t="b">
        <f>_xlfn.XLOOKUP(Table135[[#This Row],[Category]],$K$4:$K$34,$J$4:$J$34,FALSE)</f>
        <v>0</v>
      </c>
      <c r="F26" s="2"/>
      <c r="G26" s="127"/>
      <c r="H26" s="127">
        <f t="shared" si="0"/>
        <v>966.33</v>
      </c>
      <c r="J26" s="3" t="s">
        <v>66</v>
      </c>
      <c r="K26" t="s">
        <v>27</v>
      </c>
    </row>
    <row r="27" spans="1:11" x14ac:dyDescent="0.35">
      <c r="A27" s="91"/>
      <c r="B27" s="117"/>
      <c r="C27" s="117"/>
      <c r="D27" s="2"/>
      <c r="E27" s="3" t="b">
        <f>_xlfn.XLOOKUP(Table135[[#This Row],[Category]],$K$4:$K$34,$J$4:$J$34,FALSE)</f>
        <v>0</v>
      </c>
      <c r="F27" s="2"/>
      <c r="G27" s="127"/>
      <c r="H27" s="127">
        <f t="shared" si="0"/>
        <v>966.33</v>
      </c>
      <c r="J27" t="s">
        <v>51</v>
      </c>
      <c r="K27" t="s">
        <v>25</v>
      </c>
    </row>
    <row r="28" spans="1:11" x14ac:dyDescent="0.35">
      <c r="A28" s="91"/>
      <c r="B28" s="117"/>
      <c r="C28" s="117"/>
      <c r="D28" s="2"/>
      <c r="E28" s="3" t="b">
        <f>_xlfn.XLOOKUP(Table135[[#This Row],[Category]],$K$4:$K$34,$J$4:$J$34,FALSE)</f>
        <v>0</v>
      </c>
      <c r="F28" s="2"/>
      <c r="G28" s="127"/>
      <c r="H28" s="127">
        <f t="shared" si="0"/>
        <v>966.33</v>
      </c>
      <c r="J28" t="s">
        <v>51</v>
      </c>
      <c r="K28" t="s">
        <v>39</v>
      </c>
    </row>
    <row r="29" spans="1:11" x14ac:dyDescent="0.35">
      <c r="A29" s="91"/>
      <c r="B29" s="117"/>
      <c r="C29" s="117"/>
      <c r="D29" s="2"/>
      <c r="E29" s="3" t="b">
        <f>_xlfn.XLOOKUP(Table135[[#This Row],[Category]],$K$4:$K$34,$J$4:$J$34,FALSE)</f>
        <v>0</v>
      </c>
      <c r="F29" s="2"/>
      <c r="G29" s="127"/>
      <c r="H29" s="127">
        <f t="shared" si="0"/>
        <v>966.33</v>
      </c>
      <c r="J29" t="s">
        <v>51</v>
      </c>
      <c r="K29" t="s">
        <v>37</v>
      </c>
    </row>
    <row r="30" spans="1:11" x14ac:dyDescent="0.35">
      <c r="A30" s="91"/>
      <c r="B30" s="117"/>
      <c r="C30" s="117"/>
      <c r="D30" s="2"/>
      <c r="E30" s="3" t="b">
        <f>_xlfn.XLOOKUP(Table135[[#This Row],[Category]],$K$4:$K$34,$J$4:$J$34,FALSE)</f>
        <v>0</v>
      </c>
      <c r="F30" s="2"/>
      <c r="G30" s="127"/>
      <c r="H30" s="127">
        <f t="shared" si="0"/>
        <v>966.33</v>
      </c>
      <c r="J30" s="3" t="s">
        <v>51</v>
      </c>
      <c r="K30" s="3" t="s">
        <v>39</v>
      </c>
    </row>
    <row r="31" spans="1:11" x14ac:dyDescent="0.35">
      <c r="A31" s="91"/>
      <c r="B31" s="117"/>
      <c r="C31" s="117"/>
      <c r="D31" s="1"/>
      <c r="E31" s="3" t="b">
        <f>_xlfn.XLOOKUP(Table135[[#This Row],[Category]],$K$4:$K$34,$J$4:$J$34,FALSE)</f>
        <v>0</v>
      </c>
      <c r="F31" s="2"/>
      <c r="G31" s="127"/>
      <c r="H31" s="127">
        <f t="shared" si="0"/>
        <v>966.33</v>
      </c>
      <c r="J31" t="s">
        <v>46</v>
      </c>
      <c r="K31" t="s">
        <v>36</v>
      </c>
    </row>
    <row r="32" spans="1:11" x14ac:dyDescent="0.35">
      <c r="A32" s="91"/>
      <c r="B32" s="117"/>
      <c r="C32" s="117"/>
      <c r="D32" s="2"/>
      <c r="E32" s="3" t="b">
        <f>_xlfn.XLOOKUP(Table135[[#This Row],[Category]],$K$4:$K$34,$J$4:$J$34,FALSE)</f>
        <v>0</v>
      </c>
      <c r="F32" s="2"/>
      <c r="G32" s="127"/>
      <c r="H32" s="127">
        <f t="shared" si="0"/>
        <v>966.33</v>
      </c>
      <c r="J32" t="s">
        <v>46</v>
      </c>
      <c r="K32" t="s">
        <v>29</v>
      </c>
    </row>
    <row r="33" spans="1:11" x14ac:dyDescent="0.35">
      <c r="A33" s="91"/>
      <c r="B33" s="117"/>
      <c r="C33" s="117"/>
      <c r="D33" s="1"/>
      <c r="E33" s="3" t="b">
        <f>_xlfn.XLOOKUP(Table135[[#This Row],[Category]],$K$4:$K$34,$J$4:$J$34,FALSE)</f>
        <v>0</v>
      </c>
      <c r="F33" s="2"/>
      <c r="G33" s="127"/>
      <c r="H33" s="127">
        <f t="shared" si="0"/>
        <v>966.33</v>
      </c>
      <c r="J33" t="s">
        <v>46</v>
      </c>
      <c r="K33" s="3" t="s">
        <v>236</v>
      </c>
    </row>
    <row r="34" spans="1:11" x14ac:dyDescent="0.35">
      <c r="A34" s="91"/>
      <c r="B34" s="117"/>
      <c r="C34" s="111"/>
      <c r="D34" s="1"/>
      <c r="E34" s="3" t="b">
        <f>_xlfn.XLOOKUP(Table135[[#This Row],[Category]],$K$4:$K$34,$J$4:$J$34,FALSE)</f>
        <v>0</v>
      </c>
      <c r="F34" s="2"/>
      <c r="G34" s="127"/>
      <c r="H34" s="127">
        <f t="shared" si="0"/>
        <v>966.33</v>
      </c>
      <c r="J34" t="s">
        <v>46</v>
      </c>
      <c r="K34" t="s">
        <v>31</v>
      </c>
    </row>
    <row r="35" spans="1:11" x14ac:dyDescent="0.35">
      <c r="A35" s="91"/>
      <c r="B35" s="117"/>
      <c r="C35" s="111"/>
      <c r="D35" s="1"/>
      <c r="E35" s="3" t="b">
        <f>_xlfn.XLOOKUP(Table135[[#This Row],[Category]],$K$4:$K$34,$J$4:$J$34,FALSE)</f>
        <v>0</v>
      </c>
      <c r="F35" s="2"/>
      <c r="G35" s="127"/>
      <c r="H35" s="127">
        <f t="shared" si="0"/>
        <v>966.33</v>
      </c>
    </row>
    <row r="36" spans="1:11" x14ac:dyDescent="0.35">
      <c r="A36" s="91"/>
      <c r="B36" s="117"/>
      <c r="C36" s="111"/>
      <c r="D36" s="1"/>
      <c r="E36" s="3" t="b">
        <f>_xlfn.XLOOKUP(Table135[[#This Row],[Category]],$K$4:$K$34,$J$4:$J$34,FALSE)</f>
        <v>0</v>
      </c>
      <c r="F36" s="2"/>
      <c r="G36" s="129"/>
      <c r="H36" s="127">
        <f t="shared" si="0"/>
        <v>966.33</v>
      </c>
      <c r="J36" s="3" t="s">
        <v>192</v>
      </c>
    </row>
    <row r="37" spans="1:11" x14ac:dyDescent="0.35">
      <c r="A37" s="91"/>
      <c r="B37" s="117"/>
      <c r="C37" s="117"/>
      <c r="D37" s="1"/>
      <c r="E37" s="3" t="b">
        <f>_xlfn.XLOOKUP(Table135[[#This Row],[Category]],$K$4:$K$34,$J$4:$J$34,FALSE)</f>
        <v>0</v>
      </c>
      <c r="F37" s="2"/>
      <c r="G37" s="127"/>
      <c r="H37" s="127">
        <f t="shared" si="0"/>
        <v>966.33</v>
      </c>
      <c r="J37">
        <f>COUNTIF(F:F,K23)</f>
        <v>0</v>
      </c>
    </row>
    <row r="38" spans="1:11" x14ac:dyDescent="0.35">
      <c r="A38" s="91"/>
      <c r="B38" s="117"/>
      <c r="C38" s="117"/>
      <c r="D38" s="1"/>
      <c r="E38" s="3" t="b">
        <f>_xlfn.XLOOKUP(Table135[[#This Row],[Category]],$K$4:$K$34,$J$4:$J$34,FALSE)</f>
        <v>0</v>
      </c>
      <c r="F38" s="2"/>
      <c r="G38" s="127"/>
      <c r="H38" s="127">
        <f t="shared" si="0"/>
        <v>966.33</v>
      </c>
      <c r="J38" s="3" t="s">
        <v>191</v>
      </c>
    </row>
    <row r="39" spans="1:11" x14ac:dyDescent="0.35">
      <c r="A39" s="91"/>
      <c r="B39" s="117"/>
      <c r="C39" s="117"/>
      <c r="D39" s="1"/>
      <c r="E39" s="3" t="b">
        <f>_xlfn.XLOOKUP(Table135[[#This Row],[Category]],$K$4:$K$34,$J$4:$J$34,FALSE)</f>
        <v>0</v>
      </c>
      <c r="F39" s="2"/>
      <c r="G39" s="127"/>
      <c r="H39" s="127">
        <f t="shared" si="0"/>
        <v>966.33</v>
      </c>
    </row>
    <row r="40" spans="1:11" x14ac:dyDescent="0.35">
      <c r="A40" s="91"/>
      <c r="B40" s="117"/>
      <c r="C40" s="117"/>
      <c r="D40" s="1"/>
      <c r="E40" s="3" t="b">
        <f>_xlfn.XLOOKUP(Table135[[#This Row],[Category]],$K$4:$K$34,$J$4:$J$34,FALSE)</f>
        <v>0</v>
      </c>
      <c r="F40" s="2"/>
      <c r="G40" s="127"/>
      <c r="H40" s="127">
        <f t="shared" si="0"/>
        <v>966.33</v>
      </c>
      <c r="I40" s="3"/>
    </row>
    <row r="41" spans="1:11" x14ac:dyDescent="0.35">
      <c r="A41" s="91"/>
      <c r="B41" s="117"/>
      <c r="C41" s="117"/>
      <c r="D41" s="1"/>
      <c r="E41" s="3" t="b">
        <f>_xlfn.XLOOKUP(Table135[[#This Row],[Category]],$K$4:$K$34,$J$4:$J$34,FALSE)</f>
        <v>0</v>
      </c>
      <c r="F41" s="2"/>
      <c r="G41" s="127"/>
      <c r="H41" s="127">
        <f t="shared" si="0"/>
        <v>966.33</v>
      </c>
    </row>
    <row r="42" spans="1:11" x14ac:dyDescent="0.35">
      <c r="A42" s="91"/>
      <c r="B42" s="117"/>
      <c r="C42" s="117"/>
      <c r="D42" s="1"/>
      <c r="E42" s="3" t="b">
        <f>_xlfn.XLOOKUP(Table135[[#This Row],[Category]],$K$4:$K$34,$J$4:$J$34,FALSE)</f>
        <v>0</v>
      </c>
      <c r="F42" s="2"/>
      <c r="G42" s="127"/>
      <c r="H42" s="127">
        <f t="shared" si="0"/>
        <v>966.33</v>
      </c>
    </row>
    <row r="43" spans="1:11" x14ac:dyDescent="0.35">
      <c r="A43" s="91"/>
      <c r="B43" s="117"/>
      <c r="C43" s="117"/>
      <c r="D43" s="1"/>
      <c r="E43" s="3" t="b">
        <f>_xlfn.XLOOKUP(Table135[[#This Row],[Category]],$K$4:$K$34,$J$4:$J$34,FALSE)</f>
        <v>0</v>
      </c>
      <c r="F43" s="2"/>
      <c r="G43" s="127"/>
      <c r="H43" s="127">
        <f t="shared" si="0"/>
        <v>966.33</v>
      </c>
      <c r="I43" s="1"/>
    </row>
    <row r="44" spans="1:11" x14ac:dyDescent="0.35">
      <c r="A44" s="91"/>
      <c r="B44" s="117"/>
      <c r="C44" s="117"/>
      <c r="D44" s="1"/>
      <c r="E44" s="3" t="b">
        <f>_xlfn.XLOOKUP(Table135[[#This Row],[Category]],$K$4:$K$34,$J$4:$J$34,FALSE)</f>
        <v>0</v>
      </c>
      <c r="F44" s="2"/>
      <c r="G44" s="127"/>
      <c r="H44" s="127">
        <f t="shared" si="0"/>
        <v>966.33</v>
      </c>
      <c r="I44" s="1"/>
    </row>
    <row r="45" spans="1:11" x14ac:dyDescent="0.35">
      <c r="A45" s="91"/>
      <c r="B45" s="117"/>
      <c r="C45" s="117"/>
      <c r="D45" s="1"/>
      <c r="E45" s="3" t="b">
        <f>_xlfn.XLOOKUP(Table135[[#This Row],[Category]],$K$4:$K$34,$J$4:$J$34,FALSE)</f>
        <v>0</v>
      </c>
      <c r="F45" s="2"/>
      <c r="G45" s="127"/>
      <c r="H45" s="127">
        <f t="shared" si="0"/>
        <v>966.33</v>
      </c>
      <c r="I45" s="1"/>
    </row>
    <row r="46" spans="1:11" x14ac:dyDescent="0.35">
      <c r="A46" s="91"/>
      <c r="B46" s="117"/>
      <c r="C46" s="117"/>
      <c r="D46" s="1"/>
      <c r="E46" s="3" t="b">
        <f>_xlfn.XLOOKUP(Table135[[#This Row],[Category]],$K$4:$K$34,$J$4:$J$34,FALSE)</f>
        <v>0</v>
      </c>
      <c r="F46" s="2"/>
      <c r="G46" s="127"/>
      <c r="H46" s="127">
        <f t="shared" si="0"/>
        <v>966.33</v>
      </c>
      <c r="I46" s="1"/>
    </row>
    <row r="47" spans="1:11" x14ac:dyDescent="0.35">
      <c r="E47" s="3" t="b">
        <f>_xlfn.XLOOKUP(Table135[[#This Row],[Category]],$K$4:$K$34,$J$4:$J$34,FALSE)</f>
        <v>0</v>
      </c>
      <c r="F47" s="2"/>
      <c r="G47" s="129"/>
      <c r="H47" s="127">
        <f t="shared" si="0"/>
        <v>966.33</v>
      </c>
    </row>
    <row r="48" spans="1:11" x14ac:dyDescent="0.35">
      <c r="E48" s="3" t="b">
        <f>_xlfn.XLOOKUP(Table135[[#This Row],[Category]],$K$4:$K$34,$J$4:$J$34,FALSE)</f>
        <v>0</v>
      </c>
      <c r="F48" s="2"/>
      <c r="G48" s="129"/>
      <c r="H48" s="127">
        <f t="shared" si="0"/>
        <v>966.33</v>
      </c>
    </row>
    <row r="49" spans="4:10" x14ac:dyDescent="0.35">
      <c r="E49" s="3" t="b">
        <f>_xlfn.XLOOKUP(Table135[[#This Row],[Category]],$K$4:$K$34,$J$4:$J$34,FALSE)</f>
        <v>0</v>
      </c>
      <c r="F49" s="2"/>
      <c r="G49" s="129"/>
      <c r="H49" s="127">
        <f t="shared" si="0"/>
        <v>966.33</v>
      </c>
    </row>
    <row r="50" spans="4:10" x14ac:dyDescent="0.35">
      <c r="D50" s="3"/>
      <c r="E50" s="3" t="b">
        <f>_xlfn.XLOOKUP(Table135[[#This Row],[Category]],$K$4:$K$34,$J$4:$J$34,FALSE)</f>
        <v>0</v>
      </c>
      <c r="F50" s="2"/>
      <c r="G50" s="129"/>
      <c r="H50" s="127">
        <f t="shared" si="0"/>
        <v>966.33</v>
      </c>
    </row>
    <row r="51" spans="4:10" x14ac:dyDescent="0.35">
      <c r="D51" s="3"/>
      <c r="E51" s="3" t="b">
        <f>_xlfn.XLOOKUP(Table135[[#This Row],[Category]],$K$4:$K$34,$J$4:$J$34,FALSE)</f>
        <v>0</v>
      </c>
      <c r="F51" s="2"/>
      <c r="G51" s="129"/>
      <c r="H51" s="127">
        <f t="shared" si="0"/>
        <v>966.33</v>
      </c>
    </row>
    <row r="52" spans="4:10" x14ac:dyDescent="0.35">
      <c r="E52" s="3" t="b">
        <f>_xlfn.XLOOKUP(Table135[[#This Row],[Category]],$K$4:$K$34,$J$4:$J$34,FALSE)</f>
        <v>0</v>
      </c>
      <c r="F52" s="2"/>
      <c r="G52" s="129"/>
      <c r="H52" s="127">
        <f t="shared" si="0"/>
        <v>966.33</v>
      </c>
    </row>
    <row r="53" spans="4:10" x14ac:dyDescent="0.35">
      <c r="D53" s="3"/>
      <c r="E53" s="3" t="b">
        <f>_xlfn.XLOOKUP(Table135[[#This Row],[Category]],$K$4:$K$34,$J$4:$J$34,FALSE)</f>
        <v>0</v>
      </c>
      <c r="F53" s="2"/>
      <c r="G53" s="129"/>
      <c r="H53" s="127">
        <f t="shared" si="0"/>
        <v>966.33</v>
      </c>
    </row>
    <row r="54" spans="4:10" x14ac:dyDescent="0.35">
      <c r="D54" s="3"/>
      <c r="E54" s="3" t="b">
        <f>_xlfn.XLOOKUP(Table135[[#This Row],[Category]],$K$4:$K$34,$J$4:$J$34,FALSE)</f>
        <v>0</v>
      </c>
      <c r="F54" s="2"/>
      <c r="G54" s="129"/>
      <c r="H54" s="127">
        <f t="shared" si="0"/>
        <v>966.33</v>
      </c>
    </row>
    <row r="55" spans="4:10" x14ac:dyDescent="0.35">
      <c r="D55" s="3"/>
      <c r="E55" s="3" t="b">
        <f>_xlfn.XLOOKUP(Table135[[#This Row],[Category]],$K$4:$K$34,$J$4:$J$34,FALSE)</f>
        <v>0</v>
      </c>
      <c r="F55" s="2"/>
      <c r="G55" s="129"/>
      <c r="H55" s="127">
        <f t="shared" si="0"/>
        <v>966.33</v>
      </c>
    </row>
    <row r="56" spans="4:10" x14ac:dyDescent="0.35">
      <c r="D56" s="3"/>
      <c r="E56" s="3" t="b">
        <f>_xlfn.XLOOKUP(Table135[[#This Row],[Category]],$K$4:$K$34,$J$4:$J$34,FALSE)</f>
        <v>0</v>
      </c>
      <c r="F56" s="2"/>
      <c r="G56" s="129"/>
      <c r="H56" s="127">
        <f t="shared" si="0"/>
        <v>966.33</v>
      </c>
    </row>
    <row r="57" spans="4:10" x14ac:dyDescent="0.35">
      <c r="D57" s="3"/>
      <c r="E57" s="3" t="b">
        <f>_xlfn.XLOOKUP(Table135[[#This Row],[Category]],$K$4:$K$34,$J$4:$J$34,FALSE)</f>
        <v>0</v>
      </c>
      <c r="F57" s="2"/>
      <c r="G57" s="129"/>
      <c r="H57" s="127">
        <f t="shared" si="0"/>
        <v>966.33</v>
      </c>
    </row>
    <row r="58" spans="4:10" x14ac:dyDescent="0.35">
      <c r="D58" s="3"/>
      <c r="E58" s="3" t="b">
        <f>_xlfn.XLOOKUP(Table135[[#This Row],[Category]],$K$4:$K$34,$J$4:$J$34,FALSE)</f>
        <v>0</v>
      </c>
      <c r="F58" s="2"/>
      <c r="G58" s="129"/>
      <c r="H58" s="127">
        <f t="shared" si="0"/>
        <v>966.33</v>
      </c>
      <c r="J58" s="5"/>
    </row>
    <row r="59" spans="4:10" x14ac:dyDescent="0.35">
      <c r="E59" s="3" t="b">
        <f>_xlfn.XLOOKUP(Table135[[#This Row],[Category]],$K$4:$K$34,$J$4:$J$34,FALSE)</f>
        <v>0</v>
      </c>
      <c r="F59" s="2"/>
      <c r="G59" s="129"/>
      <c r="H59" s="127">
        <f t="shared" si="0"/>
        <v>966.33</v>
      </c>
      <c r="J59" s="5"/>
    </row>
    <row r="60" spans="4:10" x14ac:dyDescent="0.35">
      <c r="E60" s="3" t="b">
        <f>_xlfn.XLOOKUP(Table135[[#This Row],[Category]],$K$4:$K$34,$J$4:$J$34,FALSE)</f>
        <v>0</v>
      </c>
      <c r="F60" s="2"/>
      <c r="G60" s="129"/>
      <c r="H60" s="127">
        <f t="shared" si="0"/>
        <v>966.33</v>
      </c>
      <c r="I60" s="5"/>
    </row>
    <row r="61" spans="4:10" x14ac:dyDescent="0.35">
      <c r="D61" s="3"/>
      <c r="E61" s="3" t="b">
        <f>_xlfn.XLOOKUP(Table135[[#This Row],[Category]],$K$4:$K$34,$J$4:$J$34,FALSE)</f>
        <v>0</v>
      </c>
      <c r="F61" s="2"/>
      <c r="G61" s="129"/>
      <c r="H61" s="127">
        <f t="shared" si="0"/>
        <v>966.33</v>
      </c>
      <c r="I61" s="5"/>
    </row>
    <row r="62" spans="4:10" x14ac:dyDescent="0.35">
      <c r="E62" s="3" t="b">
        <f>_xlfn.XLOOKUP(Table135[[#This Row],[Category]],$K$4:$K$34,$J$4:$J$34,FALSE)</f>
        <v>0</v>
      </c>
      <c r="F62" s="2"/>
      <c r="G62" s="129"/>
      <c r="H62" s="127">
        <f t="shared" si="0"/>
        <v>966.33</v>
      </c>
    </row>
    <row r="63" spans="4:10" x14ac:dyDescent="0.35">
      <c r="E63" s="3" t="b">
        <f>_xlfn.XLOOKUP(Table135[[#This Row],[Category]],$K$4:$K$34,$J$4:$J$34,FALSE)</f>
        <v>0</v>
      </c>
      <c r="F63" s="2"/>
      <c r="G63" s="129"/>
      <c r="H63" s="127">
        <f t="shared" si="0"/>
        <v>966.33</v>
      </c>
    </row>
    <row r="64" spans="4:10" x14ac:dyDescent="0.35">
      <c r="E64" s="3" t="b">
        <f>_xlfn.XLOOKUP(Table135[[#This Row],[Category]],$K$4:$K$34,$J$4:$J$34,FALSE)</f>
        <v>0</v>
      </c>
      <c r="F64" s="2"/>
      <c r="G64" s="129"/>
      <c r="H64" s="127">
        <f t="shared" si="0"/>
        <v>966.33</v>
      </c>
    </row>
    <row r="65" spans="5:8" x14ac:dyDescent="0.35">
      <c r="E65" s="3" t="b">
        <f>_xlfn.XLOOKUP(Table135[[#This Row],[Category]],$K$4:$K$34,$J$4:$J$34,FALSE)</f>
        <v>0</v>
      </c>
      <c r="F65" s="2"/>
      <c r="G65" s="129"/>
      <c r="H65" s="127">
        <f t="shared" si="0"/>
        <v>966.33</v>
      </c>
    </row>
    <row r="66" spans="5:8" x14ac:dyDescent="0.35">
      <c r="E66" s="3" t="b">
        <f>_xlfn.XLOOKUP(Table135[[#This Row],[Category]],$K$4:$K$34,$J$4:$J$34,FALSE)</f>
        <v>0</v>
      </c>
      <c r="F66" s="2"/>
      <c r="G66" s="129"/>
      <c r="H66" s="127">
        <f t="shared" si="0"/>
        <v>966.33</v>
      </c>
    </row>
    <row r="67" spans="5:8" x14ac:dyDescent="0.35">
      <c r="E67" s="3" t="b">
        <f>_xlfn.XLOOKUP(Table135[[#This Row],[Category]],$K$4:$K$34,$J$4:$J$34,FALSE)</f>
        <v>0</v>
      </c>
      <c r="F67" s="2"/>
      <c r="G67" s="129"/>
      <c r="H67" s="127">
        <f t="shared" ref="H67:H130" si="1">H66+G67</f>
        <v>966.33</v>
      </c>
    </row>
    <row r="68" spans="5:8" x14ac:dyDescent="0.35">
      <c r="E68" s="3" t="b">
        <f>_xlfn.XLOOKUP(Table135[[#This Row],[Category]],$K$4:$K$34,$J$4:$J$34,FALSE)</f>
        <v>0</v>
      </c>
      <c r="F68" s="2"/>
      <c r="G68" s="129"/>
      <c r="H68" s="127">
        <f t="shared" si="1"/>
        <v>966.33</v>
      </c>
    </row>
    <row r="69" spans="5:8" x14ac:dyDescent="0.35">
      <c r="E69" s="3" t="b">
        <f>_xlfn.XLOOKUP(Table135[[#This Row],[Category]],$K$4:$K$34,$J$4:$J$34,FALSE)</f>
        <v>0</v>
      </c>
      <c r="F69" s="2"/>
      <c r="G69" s="129"/>
      <c r="H69" s="127">
        <f t="shared" si="1"/>
        <v>966.33</v>
      </c>
    </row>
    <row r="70" spans="5:8" x14ac:dyDescent="0.35">
      <c r="E70" s="3" t="b">
        <f>_xlfn.XLOOKUP(Table135[[#This Row],[Category]],$K$4:$K$34,$J$4:$J$34,FALSE)</f>
        <v>0</v>
      </c>
      <c r="F70" s="2"/>
      <c r="G70" s="129"/>
      <c r="H70" s="127">
        <f t="shared" si="1"/>
        <v>966.33</v>
      </c>
    </row>
    <row r="71" spans="5:8" x14ac:dyDescent="0.35">
      <c r="E71" s="3" t="b">
        <f>_xlfn.XLOOKUP(Table135[[#This Row],[Category]],$K$4:$K$34,$J$4:$J$34,FALSE)</f>
        <v>0</v>
      </c>
      <c r="F71" s="2"/>
      <c r="G71" s="129"/>
      <c r="H71" s="127">
        <f t="shared" si="1"/>
        <v>966.33</v>
      </c>
    </row>
    <row r="72" spans="5:8" x14ac:dyDescent="0.35">
      <c r="E72" s="3" t="b">
        <f>_xlfn.XLOOKUP(Table135[[#This Row],[Category]],$K$4:$K$34,$J$4:$J$34,FALSE)</f>
        <v>0</v>
      </c>
      <c r="F72" s="2"/>
      <c r="G72" s="129"/>
      <c r="H72" s="127">
        <f t="shared" si="1"/>
        <v>966.33</v>
      </c>
    </row>
    <row r="73" spans="5:8" x14ac:dyDescent="0.35">
      <c r="E73" s="3" t="b">
        <f>_xlfn.XLOOKUP(Table135[[#This Row],[Category]],$K$4:$K$34,$J$4:$J$34,FALSE)</f>
        <v>0</v>
      </c>
      <c r="F73" s="2"/>
      <c r="G73" s="129"/>
      <c r="H73" s="127">
        <f t="shared" si="1"/>
        <v>966.33</v>
      </c>
    </row>
    <row r="74" spans="5:8" x14ac:dyDescent="0.35">
      <c r="E74" s="3" t="b">
        <f>_xlfn.XLOOKUP(Table135[[#This Row],[Category]],$K$4:$K$34,$J$4:$J$34,FALSE)</f>
        <v>0</v>
      </c>
      <c r="F74" s="2"/>
      <c r="G74" s="129"/>
      <c r="H74" s="127">
        <f t="shared" si="1"/>
        <v>966.33</v>
      </c>
    </row>
    <row r="75" spans="5:8" x14ac:dyDescent="0.35">
      <c r="E75" s="3" t="b">
        <f>_xlfn.XLOOKUP(Table135[[#This Row],[Category]],$K$4:$K$34,$J$4:$J$34,FALSE)</f>
        <v>0</v>
      </c>
      <c r="F75" s="2"/>
      <c r="G75" s="129"/>
      <c r="H75" s="127">
        <f t="shared" si="1"/>
        <v>966.33</v>
      </c>
    </row>
    <row r="76" spans="5:8" x14ac:dyDescent="0.35">
      <c r="E76" s="3" t="b">
        <f>_xlfn.XLOOKUP(Table135[[#This Row],[Category]],$K$4:$K$34,$J$4:$J$34,FALSE)</f>
        <v>0</v>
      </c>
      <c r="F76" s="2"/>
      <c r="G76" s="129"/>
      <c r="H76" s="127">
        <f t="shared" si="1"/>
        <v>966.33</v>
      </c>
    </row>
    <row r="77" spans="5:8" x14ac:dyDescent="0.35">
      <c r="E77" s="3" t="b">
        <f>_xlfn.XLOOKUP(Table135[[#This Row],[Category]],$K$4:$K$34,$J$4:$J$34,FALSE)</f>
        <v>0</v>
      </c>
      <c r="F77" s="2"/>
      <c r="G77" s="129"/>
      <c r="H77" s="127">
        <f t="shared" si="1"/>
        <v>966.33</v>
      </c>
    </row>
    <row r="78" spans="5:8" x14ac:dyDescent="0.35">
      <c r="E78" s="3" t="b">
        <f>_xlfn.XLOOKUP(Table135[[#This Row],[Category]],$K$4:$K$34,$J$4:$J$34,FALSE)</f>
        <v>0</v>
      </c>
      <c r="F78" s="2"/>
      <c r="G78" s="129"/>
      <c r="H78" s="127">
        <f t="shared" si="1"/>
        <v>966.33</v>
      </c>
    </row>
    <row r="79" spans="5:8" x14ac:dyDescent="0.35">
      <c r="E79" s="3" t="b">
        <f>_xlfn.XLOOKUP(Table135[[#This Row],[Category]],$K$4:$K$34,$J$4:$J$34,FALSE)</f>
        <v>0</v>
      </c>
      <c r="F79" s="2"/>
      <c r="G79" s="129"/>
      <c r="H79" s="127">
        <f t="shared" si="1"/>
        <v>966.33</v>
      </c>
    </row>
    <row r="80" spans="5:8" x14ac:dyDescent="0.35">
      <c r="E80" s="3" t="b">
        <f>_xlfn.XLOOKUP(Table135[[#This Row],[Category]],$K$4:$K$34,$J$4:$J$34,FALSE)</f>
        <v>0</v>
      </c>
      <c r="F80" s="2"/>
      <c r="G80" s="129"/>
      <c r="H80" s="127">
        <f t="shared" si="1"/>
        <v>966.33</v>
      </c>
    </row>
    <row r="81" spans="5:8" x14ac:dyDescent="0.35">
      <c r="E81" s="3" t="b">
        <f>_xlfn.XLOOKUP(Table135[[#This Row],[Category]],$K$4:$K$34,$J$4:$J$34,FALSE)</f>
        <v>0</v>
      </c>
      <c r="F81" s="2"/>
      <c r="G81" s="129"/>
      <c r="H81" s="127">
        <f t="shared" si="1"/>
        <v>966.33</v>
      </c>
    </row>
    <row r="82" spans="5:8" x14ac:dyDescent="0.35">
      <c r="E82" s="3" t="b">
        <f>_xlfn.XLOOKUP(Table135[[#This Row],[Category]],$K$4:$K$34,$J$4:$J$34,FALSE)</f>
        <v>0</v>
      </c>
      <c r="F82" s="2"/>
      <c r="G82" s="129"/>
      <c r="H82" s="127">
        <f t="shared" si="1"/>
        <v>966.33</v>
      </c>
    </row>
    <row r="83" spans="5:8" x14ac:dyDescent="0.35">
      <c r="E83" s="3" t="b">
        <f>_xlfn.XLOOKUP(Table135[[#This Row],[Category]],$K$4:$K$34,$J$4:$J$34,FALSE)</f>
        <v>0</v>
      </c>
      <c r="F83" s="2"/>
      <c r="G83" s="129"/>
      <c r="H83" s="127">
        <f t="shared" si="1"/>
        <v>966.33</v>
      </c>
    </row>
    <row r="84" spans="5:8" x14ac:dyDescent="0.35">
      <c r="E84" s="3" t="b">
        <f>_xlfn.XLOOKUP(Table135[[#This Row],[Category]],$K$4:$K$34,$J$4:$J$34,FALSE)</f>
        <v>0</v>
      </c>
      <c r="F84" s="2"/>
      <c r="G84" s="129"/>
      <c r="H84" s="127">
        <f t="shared" si="1"/>
        <v>966.33</v>
      </c>
    </row>
    <row r="85" spans="5:8" x14ac:dyDescent="0.35">
      <c r="E85" s="3" t="b">
        <f>_xlfn.XLOOKUP(Table135[[#This Row],[Category]],$K$4:$K$34,$J$4:$J$34,FALSE)</f>
        <v>0</v>
      </c>
      <c r="F85" s="2"/>
      <c r="G85" s="129"/>
      <c r="H85" s="127">
        <f t="shared" si="1"/>
        <v>966.33</v>
      </c>
    </row>
    <row r="86" spans="5:8" x14ac:dyDescent="0.35">
      <c r="E86" s="3" t="b">
        <f>_xlfn.XLOOKUP(Table135[[#This Row],[Category]],$K$4:$K$34,$J$4:$J$34,FALSE)</f>
        <v>0</v>
      </c>
      <c r="F86" s="2"/>
      <c r="G86" s="129"/>
      <c r="H86" s="127">
        <f t="shared" si="1"/>
        <v>966.33</v>
      </c>
    </row>
    <row r="87" spans="5:8" x14ac:dyDescent="0.35">
      <c r="E87" s="3" t="b">
        <f>_xlfn.XLOOKUP(Table135[[#This Row],[Category]],$K$4:$K$34,$J$4:$J$34,FALSE)</f>
        <v>0</v>
      </c>
      <c r="F87" s="2"/>
      <c r="G87" s="129"/>
      <c r="H87" s="127">
        <f t="shared" si="1"/>
        <v>966.33</v>
      </c>
    </row>
    <row r="88" spans="5:8" x14ac:dyDescent="0.35">
      <c r="E88" s="3" t="b">
        <f>_xlfn.XLOOKUP(Table135[[#This Row],[Category]],$K$4:$K$34,$J$4:$J$34,FALSE)</f>
        <v>0</v>
      </c>
      <c r="F88" s="2"/>
      <c r="G88" s="129"/>
      <c r="H88" s="127">
        <f t="shared" si="1"/>
        <v>966.33</v>
      </c>
    </row>
    <row r="89" spans="5:8" x14ac:dyDescent="0.35">
      <c r="E89" s="3" t="b">
        <f>_xlfn.XLOOKUP(Table135[[#This Row],[Category]],$K$4:$K$34,$J$4:$J$34,FALSE)</f>
        <v>0</v>
      </c>
      <c r="F89" s="2"/>
      <c r="G89" s="129"/>
      <c r="H89" s="127">
        <f t="shared" si="1"/>
        <v>966.33</v>
      </c>
    </row>
    <row r="90" spans="5:8" x14ac:dyDescent="0.35">
      <c r="E90" s="3" t="b">
        <f>_xlfn.XLOOKUP(Table135[[#This Row],[Category]],$K$4:$K$34,$J$4:$J$34,FALSE)</f>
        <v>0</v>
      </c>
      <c r="F90" s="2"/>
      <c r="G90" s="129"/>
      <c r="H90" s="127">
        <f t="shared" si="1"/>
        <v>966.33</v>
      </c>
    </row>
    <row r="91" spans="5:8" x14ac:dyDescent="0.35">
      <c r="E91" s="3" t="b">
        <f>_xlfn.XLOOKUP(Table135[[#This Row],[Category]],$K$4:$K$34,$J$4:$J$34,FALSE)</f>
        <v>0</v>
      </c>
      <c r="F91" s="2"/>
      <c r="G91" s="129"/>
      <c r="H91" s="127">
        <f t="shared" si="1"/>
        <v>966.33</v>
      </c>
    </row>
    <row r="92" spans="5:8" x14ac:dyDescent="0.35">
      <c r="E92" s="3" t="b">
        <f>_xlfn.XLOOKUP(Table135[[#This Row],[Category]],$K$4:$K$34,$J$4:$J$34,FALSE)</f>
        <v>0</v>
      </c>
      <c r="F92" s="2"/>
      <c r="G92" s="129"/>
      <c r="H92" s="127">
        <f t="shared" si="1"/>
        <v>966.33</v>
      </c>
    </row>
    <row r="93" spans="5:8" x14ac:dyDescent="0.35">
      <c r="E93" s="3" t="b">
        <f>_xlfn.XLOOKUP(Table135[[#This Row],[Category]],$K$4:$K$34,$J$4:$J$34,FALSE)</f>
        <v>0</v>
      </c>
      <c r="F93" s="2"/>
      <c r="G93" s="129"/>
      <c r="H93" s="127">
        <f t="shared" si="1"/>
        <v>966.33</v>
      </c>
    </row>
    <row r="94" spans="5:8" x14ac:dyDescent="0.35">
      <c r="E94" s="3" t="b">
        <f>_xlfn.XLOOKUP(Table135[[#This Row],[Category]],$K$4:$K$34,$J$4:$J$34,FALSE)</f>
        <v>0</v>
      </c>
      <c r="F94" s="2"/>
      <c r="G94" s="129"/>
      <c r="H94" s="127">
        <f t="shared" si="1"/>
        <v>966.33</v>
      </c>
    </row>
    <row r="95" spans="5:8" x14ac:dyDescent="0.35">
      <c r="E95" s="3" t="b">
        <f>_xlfn.XLOOKUP(Table135[[#This Row],[Category]],$K$4:$K$34,$J$4:$J$34,FALSE)</f>
        <v>0</v>
      </c>
      <c r="F95" s="2"/>
      <c r="G95" s="129"/>
      <c r="H95" s="127">
        <f t="shared" si="1"/>
        <v>966.33</v>
      </c>
    </row>
    <row r="96" spans="5:8" x14ac:dyDescent="0.35">
      <c r="E96" s="3" t="b">
        <f>_xlfn.XLOOKUP(Table135[[#This Row],[Category]],$K$4:$K$34,$J$4:$J$34,FALSE)</f>
        <v>0</v>
      </c>
      <c r="F96" s="2"/>
      <c r="G96" s="129"/>
      <c r="H96" s="127">
        <f t="shared" si="1"/>
        <v>966.33</v>
      </c>
    </row>
    <row r="97" spans="5:8" x14ac:dyDescent="0.35">
      <c r="E97" s="3" t="b">
        <f>_xlfn.XLOOKUP(Table135[[#This Row],[Category]],$K$4:$K$34,$J$4:$J$34,FALSE)</f>
        <v>0</v>
      </c>
      <c r="F97" s="2"/>
      <c r="G97" s="129"/>
      <c r="H97" s="127">
        <f t="shared" si="1"/>
        <v>966.33</v>
      </c>
    </row>
    <row r="98" spans="5:8" x14ac:dyDescent="0.35">
      <c r="E98" s="3" t="b">
        <f>_xlfn.XLOOKUP(Table135[[#This Row],[Category]],$K$4:$K$34,$J$4:$J$34,FALSE)</f>
        <v>0</v>
      </c>
      <c r="F98" s="2"/>
      <c r="G98" s="129"/>
      <c r="H98" s="127">
        <f t="shared" si="1"/>
        <v>966.33</v>
      </c>
    </row>
    <row r="99" spans="5:8" x14ac:dyDescent="0.35">
      <c r="E99" s="3" t="b">
        <f>_xlfn.XLOOKUP(Table135[[#This Row],[Category]],$K$4:$K$34,$J$4:$J$34,FALSE)</f>
        <v>0</v>
      </c>
      <c r="F99" s="2"/>
      <c r="G99" s="129"/>
      <c r="H99" s="127">
        <f t="shared" si="1"/>
        <v>966.33</v>
      </c>
    </row>
    <row r="100" spans="5:8" x14ac:dyDescent="0.35">
      <c r="E100" s="3" t="b">
        <f>_xlfn.XLOOKUP(Table135[[#This Row],[Category]],$K$4:$K$34,$J$4:$J$34,FALSE)</f>
        <v>0</v>
      </c>
      <c r="F100" s="2"/>
      <c r="G100" s="129"/>
      <c r="H100" s="127">
        <f t="shared" si="1"/>
        <v>966.33</v>
      </c>
    </row>
    <row r="101" spans="5:8" x14ac:dyDescent="0.35">
      <c r="E101" s="3" t="b">
        <f>_xlfn.XLOOKUP(Table135[[#This Row],[Category]],$K$4:$K$34,$J$4:$J$34,FALSE)</f>
        <v>0</v>
      </c>
      <c r="F101" s="2"/>
      <c r="G101" s="129"/>
      <c r="H101" s="127">
        <f t="shared" si="1"/>
        <v>966.33</v>
      </c>
    </row>
    <row r="102" spans="5:8" x14ac:dyDescent="0.35">
      <c r="E102" s="3" t="b">
        <f>_xlfn.XLOOKUP(Table135[[#This Row],[Category]],$K$4:$K$34,$J$4:$J$34,FALSE)</f>
        <v>0</v>
      </c>
      <c r="F102" s="2"/>
      <c r="G102" s="129"/>
      <c r="H102" s="127">
        <f t="shared" si="1"/>
        <v>966.33</v>
      </c>
    </row>
    <row r="103" spans="5:8" x14ac:dyDescent="0.35">
      <c r="E103" s="3" t="b">
        <f>_xlfn.XLOOKUP(Table135[[#This Row],[Category]],$K$4:$K$34,$J$4:$J$34,FALSE)</f>
        <v>0</v>
      </c>
      <c r="F103" s="2"/>
      <c r="G103" s="129"/>
      <c r="H103" s="127">
        <f t="shared" si="1"/>
        <v>966.33</v>
      </c>
    </row>
    <row r="104" spans="5:8" x14ac:dyDescent="0.35">
      <c r="E104" s="3" t="b">
        <f>_xlfn.XLOOKUP(Table135[[#This Row],[Category]],$K$4:$K$34,$J$4:$J$34,FALSE)</f>
        <v>0</v>
      </c>
      <c r="F104" s="2"/>
      <c r="G104" s="129"/>
      <c r="H104" s="127">
        <f t="shared" si="1"/>
        <v>966.33</v>
      </c>
    </row>
    <row r="105" spans="5:8" x14ac:dyDescent="0.35">
      <c r="E105" s="3" t="b">
        <f>_xlfn.XLOOKUP(Table135[[#This Row],[Category]],$K$4:$K$34,$J$4:$J$34,FALSE)</f>
        <v>0</v>
      </c>
      <c r="F105" s="2"/>
      <c r="G105" s="129"/>
      <c r="H105" s="127">
        <f t="shared" si="1"/>
        <v>966.33</v>
      </c>
    </row>
    <row r="106" spans="5:8" x14ac:dyDescent="0.35">
      <c r="E106" s="3" t="b">
        <f>_xlfn.XLOOKUP(Table135[[#This Row],[Category]],$K$4:$K$34,$J$4:$J$34,FALSE)</f>
        <v>0</v>
      </c>
      <c r="F106" s="2"/>
      <c r="G106" s="129"/>
      <c r="H106" s="127">
        <f t="shared" si="1"/>
        <v>966.33</v>
      </c>
    </row>
    <row r="107" spans="5:8" x14ac:dyDescent="0.35">
      <c r="E107" s="3" t="b">
        <f>_xlfn.XLOOKUP(Table135[[#This Row],[Category]],$K$4:$K$34,$J$4:$J$34,FALSE)</f>
        <v>0</v>
      </c>
      <c r="F107" s="2"/>
      <c r="G107" s="129"/>
      <c r="H107" s="127">
        <f t="shared" si="1"/>
        <v>966.33</v>
      </c>
    </row>
    <row r="108" spans="5:8" x14ac:dyDescent="0.35">
      <c r="E108" s="3" t="b">
        <f>_xlfn.XLOOKUP(Table135[[#This Row],[Category]],$K$4:$K$34,$J$4:$J$34,FALSE)</f>
        <v>0</v>
      </c>
      <c r="F108" s="2"/>
      <c r="G108" s="129"/>
      <c r="H108" s="127">
        <f t="shared" si="1"/>
        <v>966.33</v>
      </c>
    </row>
    <row r="109" spans="5:8" x14ac:dyDescent="0.35">
      <c r="E109" s="3" t="b">
        <f>_xlfn.XLOOKUP(Table135[[#This Row],[Category]],$K$4:$K$34,$J$4:$J$34,FALSE)</f>
        <v>0</v>
      </c>
      <c r="F109" s="2"/>
      <c r="G109" s="129"/>
      <c r="H109" s="127">
        <f t="shared" si="1"/>
        <v>966.33</v>
      </c>
    </row>
    <row r="110" spans="5:8" x14ac:dyDescent="0.35">
      <c r="E110" s="3" t="b">
        <f>_xlfn.XLOOKUP(Table135[[#This Row],[Category]],$K$4:$K$34,$J$4:$J$34,FALSE)</f>
        <v>0</v>
      </c>
      <c r="F110" s="2"/>
      <c r="G110" s="129"/>
      <c r="H110" s="127">
        <f t="shared" si="1"/>
        <v>966.33</v>
      </c>
    </row>
    <row r="111" spans="5:8" x14ac:dyDescent="0.35">
      <c r="E111" s="3" t="b">
        <f>_xlfn.XLOOKUP(Table135[[#This Row],[Category]],$K$4:$K$34,$J$4:$J$34,FALSE)</f>
        <v>0</v>
      </c>
      <c r="F111" s="2"/>
      <c r="G111" s="129"/>
      <c r="H111" s="127">
        <f t="shared" si="1"/>
        <v>966.33</v>
      </c>
    </row>
    <row r="112" spans="5:8" x14ac:dyDescent="0.35">
      <c r="E112" s="3" t="b">
        <f>_xlfn.XLOOKUP(Table135[[#This Row],[Category]],$K$4:$K$34,$J$4:$J$34,FALSE)</f>
        <v>0</v>
      </c>
      <c r="F112" s="2"/>
      <c r="G112" s="129"/>
      <c r="H112" s="127">
        <f t="shared" si="1"/>
        <v>966.33</v>
      </c>
    </row>
    <row r="113" spans="5:8" x14ac:dyDescent="0.35">
      <c r="E113" s="3" t="b">
        <f>_xlfn.XLOOKUP(Table135[[#This Row],[Category]],$K$4:$K$34,$J$4:$J$34,FALSE)</f>
        <v>0</v>
      </c>
      <c r="F113" s="2"/>
      <c r="G113" s="129"/>
      <c r="H113" s="127">
        <f t="shared" si="1"/>
        <v>966.33</v>
      </c>
    </row>
    <row r="114" spans="5:8" x14ac:dyDescent="0.35">
      <c r="E114" s="3" t="b">
        <f>_xlfn.XLOOKUP(Table135[[#This Row],[Category]],$K$4:$K$34,$J$4:$J$34,FALSE)</f>
        <v>0</v>
      </c>
      <c r="F114" s="2"/>
      <c r="G114" s="129"/>
      <c r="H114" s="127">
        <f t="shared" si="1"/>
        <v>966.33</v>
      </c>
    </row>
    <row r="115" spans="5:8" x14ac:dyDescent="0.35">
      <c r="E115" s="3" t="b">
        <f>_xlfn.XLOOKUP(Table135[[#This Row],[Category]],$K$4:$K$34,$J$4:$J$34,FALSE)</f>
        <v>0</v>
      </c>
      <c r="F115" s="2"/>
      <c r="G115" s="129"/>
      <c r="H115" s="127">
        <f t="shared" si="1"/>
        <v>966.33</v>
      </c>
    </row>
    <row r="116" spans="5:8" x14ac:dyDescent="0.35">
      <c r="E116" s="3" t="b">
        <f>_xlfn.XLOOKUP(Table135[[#This Row],[Category]],$K$4:$K$34,$J$4:$J$34,FALSE)</f>
        <v>0</v>
      </c>
      <c r="F116" s="2"/>
      <c r="G116" s="129"/>
      <c r="H116" s="127">
        <f t="shared" si="1"/>
        <v>966.33</v>
      </c>
    </row>
    <row r="117" spans="5:8" x14ac:dyDescent="0.35">
      <c r="E117" s="3" t="b">
        <f>_xlfn.XLOOKUP(Table135[[#This Row],[Category]],$K$4:$K$34,$J$4:$J$34,FALSE)</f>
        <v>0</v>
      </c>
      <c r="F117" s="2"/>
      <c r="G117" s="129"/>
      <c r="H117" s="127">
        <f t="shared" si="1"/>
        <v>966.33</v>
      </c>
    </row>
    <row r="118" spans="5:8" x14ac:dyDescent="0.35">
      <c r="E118" s="3" t="b">
        <f>_xlfn.XLOOKUP(Table135[[#This Row],[Category]],$K$4:$K$34,$J$4:$J$34,FALSE)</f>
        <v>0</v>
      </c>
      <c r="F118" s="2"/>
      <c r="G118" s="129"/>
      <c r="H118" s="127">
        <f t="shared" si="1"/>
        <v>966.33</v>
      </c>
    </row>
    <row r="119" spans="5:8" x14ac:dyDescent="0.35">
      <c r="E119" s="3" t="b">
        <f>_xlfn.XLOOKUP(Table135[[#This Row],[Category]],$K$4:$K$34,$J$4:$J$34,FALSE)</f>
        <v>0</v>
      </c>
      <c r="F119" s="2"/>
      <c r="G119" s="129"/>
      <c r="H119" s="127">
        <f t="shared" si="1"/>
        <v>966.33</v>
      </c>
    </row>
    <row r="120" spans="5:8" x14ac:dyDescent="0.35">
      <c r="E120" s="3" t="b">
        <f>_xlfn.XLOOKUP(Table135[[#This Row],[Category]],$K$4:$K$34,$J$4:$J$34,FALSE)</f>
        <v>0</v>
      </c>
      <c r="F120" s="2"/>
      <c r="G120" s="129"/>
      <c r="H120" s="127">
        <f t="shared" si="1"/>
        <v>966.33</v>
      </c>
    </row>
    <row r="121" spans="5:8" x14ac:dyDescent="0.35">
      <c r="E121" s="3" t="b">
        <f>_xlfn.XLOOKUP(Table135[[#This Row],[Category]],$K$4:$K$34,$J$4:$J$34,FALSE)</f>
        <v>0</v>
      </c>
      <c r="F121" s="2"/>
      <c r="G121" s="129"/>
      <c r="H121" s="127">
        <f t="shared" si="1"/>
        <v>966.33</v>
      </c>
    </row>
    <row r="122" spans="5:8" x14ac:dyDescent="0.35">
      <c r="E122" s="3" t="b">
        <f>_xlfn.XLOOKUP(Table135[[#This Row],[Category]],$K$4:$K$34,$J$4:$J$34,FALSE)</f>
        <v>0</v>
      </c>
      <c r="F122" s="2"/>
      <c r="G122" s="129"/>
      <c r="H122" s="127">
        <f t="shared" si="1"/>
        <v>966.33</v>
      </c>
    </row>
    <row r="123" spans="5:8" x14ac:dyDescent="0.35">
      <c r="E123" s="3" t="b">
        <f>_xlfn.XLOOKUP(Table135[[#This Row],[Category]],$K$4:$K$34,$J$4:$J$34,FALSE)</f>
        <v>0</v>
      </c>
      <c r="F123" s="2"/>
      <c r="G123" s="129"/>
      <c r="H123" s="127">
        <f t="shared" si="1"/>
        <v>966.33</v>
      </c>
    </row>
    <row r="124" spans="5:8" x14ac:dyDescent="0.35">
      <c r="E124" s="3" t="b">
        <f>_xlfn.XLOOKUP(Table135[[#This Row],[Category]],$K$4:$K$34,$J$4:$J$34,FALSE)</f>
        <v>0</v>
      </c>
      <c r="F124" s="2"/>
      <c r="G124" s="129"/>
      <c r="H124" s="127">
        <f t="shared" si="1"/>
        <v>966.33</v>
      </c>
    </row>
    <row r="125" spans="5:8" x14ac:dyDescent="0.35">
      <c r="E125" s="3" t="b">
        <f>_xlfn.XLOOKUP(Table135[[#This Row],[Category]],$K$4:$K$34,$J$4:$J$34,FALSE)</f>
        <v>0</v>
      </c>
      <c r="F125" s="2"/>
      <c r="G125" s="129"/>
      <c r="H125" s="127">
        <f t="shared" si="1"/>
        <v>966.33</v>
      </c>
    </row>
    <row r="126" spans="5:8" x14ac:dyDescent="0.35">
      <c r="E126" s="3" t="b">
        <f>_xlfn.XLOOKUP(Table135[[#This Row],[Category]],$K$4:$K$34,$J$4:$J$34,FALSE)</f>
        <v>0</v>
      </c>
      <c r="F126" s="2"/>
      <c r="G126" s="129"/>
      <c r="H126" s="127">
        <f t="shared" si="1"/>
        <v>966.33</v>
      </c>
    </row>
    <row r="127" spans="5:8" x14ac:dyDescent="0.35">
      <c r="E127" s="3" t="b">
        <f>_xlfn.XLOOKUP(Table135[[#This Row],[Category]],$K$4:$K$34,$J$4:$J$34,FALSE)</f>
        <v>0</v>
      </c>
      <c r="F127" s="2"/>
      <c r="G127" s="129"/>
      <c r="H127" s="127">
        <f t="shared" si="1"/>
        <v>966.33</v>
      </c>
    </row>
    <row r="128" spans="5:8" x14ac:dyDescent="0.35">
      <c r="E128" s="3" t="b">
        <f>_xlfn.XLOOKUP(Table135[[#This Row],[Category]],$K$4:$K$34,$J$4:$J$34,FALSE)</f>
        <v>0</v>
      </c>
      <c r="F128" s="2"/>
      <c r="G128" s="129"/>
      <c r="H128" s="127">
        <f t="shared" si="1"/>
        <v>966.33</v>
      </c>
    </row>
    <row r="129" spans="5:8" x14ac:dyDescent="0.35">
      <c r="E129" s="3" t="b">
        <f>_xlfn.XLOOKUP(Table135[[#This Row],[Category]],$K$4:$K$34,$J$4:$J$34,FALSE)</f>
        <v>0</v>
      </c>
      <c r="F129" s="2"/>
      <c r="G129" s="129"/>
      <c r="H129" s="127">
        <f t="shared" si="1"/>
        <v>966.33</v>
      </c>
    </row>
    <row r="130" spans="5:8" x14ac:dyDescent="0.35">
      <c r="E130" s="3" t="b">
        <f>_xlfn.XLOOKUP(Table135[[#This Row],[Category]],$K$4:$K$34,$J$4:$J$34,FALSE)</f>
        <v>0</v>
      </c>
      <c r="F130" s="2"/>
      <c r="G130" s="129"/>
      <c r="H130" s="127">
        <f t="shared" si="1"/>
        <v>966.33</v>
      </c>
    </row>
    <row r="131" spans="5:8" x14ac:dyDescent="0.35">
      <c r="E131" s="3" t="b">
        <f>_xlfn.XLOOKUP(Table135[[#This Row],[Category]],$K$4:$K$34,$J$4:$J$34,FALSE)</f>
        <v>0</v>
      </c>
      <c r="F131" s="2"/>
      <c r="G131" s="129"/>
      <c r="H131" s="127">
        <f t="shared" ref="H131:H161" si="2">H130+G131</f>
        <v>966.33</v>
      </c>
    </row>
    <row r="132" spans="5:8" x14ac:dyDescent="0.35">
      <c r="E132" s="3" t="b">
        <f>_xlfn.XLOOKUP(Table135[[#This Row],[Category]],$K$4:$K$34,$J$4:$J$34,FALSE)</f>
        <v>0</v>
      </c>
      <c r="F132" s="2"/>
      <c r="G132" s="129"/>
      <c r="H132" s="127">
        <f t="shared" si="2"/>
        <v>966.33</v>
      </c>
    </row>
    <row r="133" spans="5:8" x14ac:dyDescent="0.35">
      <c r="E133" s="3" t="b">
        <f>_xlfn.XLOOKUP(Table135[[#This Row],[Category]],$K$4:$K$34,$J$4:$J$34,FALSE)</f>
        <v>0</v>
      </c>
      <c r="F133" s="2"/>
      <c r="G133" s="129"/>
      <c r="H133" s="127">
        <f t="shared" si="2"/>
        <v>966.33</v>
      </c>
    </row>
    <row r="134" spans="5:8" x14ac:dyDescent="0.35">
      <c r="E134" s="3" t="b">
        <f>_xlfn.XLOOKUP(Table135[[#This Row],[Category]],$K$4:$K$34,$J$4:$J$34,FALSE)</f>
        <v>0</v>
      </c>
      <c r="F134" s="2"/>
      <c r="G134" s="129"/>
      <c r="H134" s="127">
        <f t="shared" si="2"/>
        <v>966.33</v>
      </c>
    </row>
    <row r="135" spans="5:8" x14ac:dyDescent="0.35">
      <c r="E135" s="3" t="b">
        <f>_xlfn.XLOOKUP(Table135[[#This Row],[Category]],$K$4:$K$34,$J$4:$J$34,FALSE)</f>
        <v>0</v>
      </c>
      <c r="F135" s="2"/>
      <c r="G135" s="129"/>
      <c r="H135" s="127">
        <f t="shared" si="2"/>
        <v>966.33</v>
      </c>
    </row>
    <row r="136" spans="5:8" x14ac:dyDescent="0.35">
      <c r="E136" s="3" t="b">
        <f>_xlfn.XLOOKUP(Table135[[#This Row],[Category]],$K$4:$K$34,$J$4:$J$34,FALSE)</f>
        <v>0</v>
      </c>
      <c r="F136" s="2"/>
      <c r="G136" s="129"/>
      <c r="H136" s="127">
        <f t="shared" si="2"/>
        <v>966.33</v>
      </c>
    </row>
    <row r="137" spans="5:8" x14ac:dyDescent="0.35">
      <c r="E137" s="3" t="b">
        <f>_xlfn.XLOOKUP(Table135[[#This Row],[Category]],$K$4:$K$34,$J$4:$J$34,FALSE)</f>
        <v>0</v>
      </c>
      <c r="F137" s="2"/>
      <c r="G137" s="129"/>
      <c r="H137" s="127">
        <f t="shared" si="2"/>
        <v>966.33</v>
      </c>
    </row>
    <row r="138" spans="5:8" x14ac:dyDescent="0.35">
      <c r="E138" s="3" t="b">
        <f>_xlfn.XLOOKUP(Table135[[#This Row],[Category]],$K$4:$K$34,$J$4:$J$34,FALSE)</f>
        <v>0</v>
      </c>
      <c r="F138" s="2"/>
      <c r="G138" s="129"/>
      <c r="H138" s="127">
        <f t="shared" si="2"/>
        <v>966.33</v>
      </c>
    </row>
    <row r="139" spans="5:8" x14ac:dyDescent="0.35">
      <c r="E139" s="3" t="b">
        <f>_xlfn.XLOOKUP(Table135[[#This Row],[Category]],$K$4:$K$34,$J$4:$J$34,FALSE)</f>
        <v>0</v>
      </c>
      <c r="F139" s="2"/>
      <c r="G139" s="129"/>
      <c r="H139" s="127">
        <f t="shared" si="2"/>
        <v>966.33</v>
      </c>
    </row>
    <row r="140" spans="5:8" x14ac:dyDescent="0.35">
      <c r="E140" s="3" t="b">
        <f>_xlfn.XLOOKUP(Table135[[#This Row],[Category]],$K$4:$K$34,$J$4:$J$34,FALSE)</f>
        <v>0</v>
      </c>
      <c r="F140" s="2"/>
      <c r="G140" s="129"/>
      <c r="H140" s="127">
        <f t="shared" si="2"/>
        <v>966.33</v>
      </c>
    </row>
    <row r="141" spans="5:8" x14ac:dyDescent="0.35">
      <c r="E141" s="3" t="b">
        <f>_xlfn.XLOOKUP(Table135[[#This Row],[Category]],$K$4:$K$34,$J$4:$J$34,FALSE)</f>
        <v>0</v>
      </c>
      <c r="F141" s="2"/>
      <c r="G141" s="129"/>
      <c r="H141" s="127">
        <f t="shared" si="2"/>
        <v>966.33</v>
      </c>
    </row>
    <row r="142" spans="5:8" x14ac:dyDescent="0.35">
      <c r="E142" s="3" t="b">
        <f>_xlfn.XLOOKUP(Table135[[#This Row],[Category]],$K$4:$K$34,$J$4:$J$34,FALSE)</f>
        <v>0</v>
      </c>
      <c r="F142" s="2"/>
      <c r="G142" s="129"/>
      <c r="H142" s="127">
        <f t="shared" si="2"/>
        <v>966.33</v>
      </c>
    </row>
    <row r="143" spans="5:8" x14ac:dyDescent="0.35">
      <c r="E143" s="3" t="b">
        <f>_xlfn.XLOOKUP(Table135[[#This Row],[Category]],$K$4:$K$34,$J$4:$J$34,FALSE)</f>
        <v>0</v>
      </c>
      <c r="F143" s="2"/>
      <c r="G143" s="129"/>
      <c r="H143" s="127">
        <f t="shared" si="2"/>
        <v>966.33</v>
      </c>
    </row>
    <row r="144" spans="5:8" x14ac:dyDescent="0.35">
      <c r="E144" s="3" t="b">
        <f>_xlfn.XLOOKUP(Table135[[#This Row],[Category]],$K$4:$K$34,$J$4:$J$34,FALSE)</f>
        <v>0</v>
      </c>
      <c r="F144" s="2"/>
      <c r="G144" s="129"/>
      <c r="H144" s="127">
        <f t="shared" si="2"/>
        <v>966.33</v>
      </c>
    </row>
    <row r="145" spans="5:8" x14ac:dyDescent="0.35">
      <c r="E145" s="3" t="b">
        <f>_xlfn.XLOOKUP(Table135[[#This Row],[Category]],$K$4:$K$34,$J$4:$J$34,FALSE)</f>
        <v>0</v>
      </c>
      <c r="F145" s="2"/>
      <c r="G145" s="129"/>
      <c r="H145" s="127">
        <f t="shared" si="2"/>
        <v>966.33</v>
      </c>
    </row>
    <row r="146" spans="5:8" x14ac:dyDescent="0.35">
      <c r="E146" s="3" t="b">
        <f>_xlfn.XLOOKUP(Table135[[#This Row],[Category]],$K$4:$K$34,$J$4:$J$34,FALSE)</f>
        <v>0</v>
      </c>
      <c r="F146" s="2"/>
      <c r="G146" s="129"/>
      <c r="H146" s="127">
        <f t="shared" si="2"/>
        <v>966.33</v>
      </c>
    </row>
    <row r="147" spans="5:8" x14ac:dyDescent="0.35">
      <c r="E147" s="3" t="b">
        <f>_xlfn.XLOOKUP(Table135[[#This Row],[Category]],$K$4:$K$34,$J$4:$J$34,FALSE)</f>
        <v>0</v>
      </c>
      <c r="F147" s="2"/>
      <c r="G147" s="129"/>
      <c r="H147" s="127">
        <f t="shared" si="2"/>
        <v>966.33</v>
      </c>
    </row>
    <row r="148" spans="5:8" x14ac:dyDescent="0.35">
      <c r="E148" s="3" t="b">
        <f>_xlfn.XLOOKUP(Table135[[#This Row],[Category]],$K$4:$K$34,$J$4:$J$34,FALSE)</f>
        <v>0</v>
      </c>
      <c r="F148" s="2"/>
      <c r="G148" s="129"/>
      <c r="H148" s="127">
        <f t="shared" si="2"/>
        <v>966.33</v>
      </c>
    </row>
    <row r="149" spans="5:8" x14ac:dyDescent="0.35">
      <c r="E149" s="3" t="b">
        <f>_xlfn.XLOOKUP(Table135[[#This Row],[Category]],$K$4:$K$34,$J$4:$J$34,FALSE)</f>
        <v>0</v>
      </c>
      <c r="F149" s="2"/>
      <c r="G149" s="129"/>
      <c r="H149" s="127">
        <f t="shared" si="2"/>
        <v>966.33</v>
      </c>
    </row>
    <row r="150" spans="5:8" x14ac:dyDescent="0.35">
      <c r="E150" s="3" t="b">
        <f>_xlfn.XLOOKUP(Table135[[#This Row],[Category]],$K$4:$K$34,$J$4:$J$34,FALSE)</f>
        <v>0</v>
      </c>
      <c r="F150" s="2"/>
      <c r="G150" s="129"/>
      <c r="H150" s="127">
        <f t="shared" si="2"/>
        <v>966.33</v>
      </c>
    </row>
    <row r="151" spans="5:8" x14ac:dyDescent="0.35">
      <c r="E151" s="3" t="b">
        <f>_xlfn.XLOOKUP(Table135[[#This Row],[Category]],$K$4:$K$34,$J$4:$J$34,FALSE)</f>
        <v>0</v>
      </c>
      <c r="F151" s="2"/>
      <c r="G151" s="129"/>
      <c r="H151" s="127">
        <f t="shared" si="2"/>
        <v>966.33</v>
      </c>
    </row>
    <row r="152" spans="5:8" x14ac:dyDescent="0.35">
      <c r="E152" s="3" t="b">
        <f>_xlfn.XLOOKUP(Table135[[#This Row],[Category]],$K$4:$K$34,$J$4:$J$34,FALSE)</f>
        <v>0</v>
      </c>
      <c r="F152" s="2"/>
      <c r="G152" s="129"/>
      <c r="H152" s="127">
        <f t="shared" si="2"/>
        <v>966.33</v>
      </c>
    </row>
    <row r="153" spans="5:8" x14ac:dyDescent="0.35">
      <c r="E153" s="3" t="b">
        <f>_xlfn.XLOOKUP(Table135[[#This Row],[Category]],$K$4:$K$34,$J$4:$J$34,FALSE)</f>
        <v>0</v>
      </c>
      <c r="F153" s="2"/>
      <c r="G153" s="129"/>
      <c r="H153" s="127">
        <f t="shared" si="2"/>
        <v>966.33</v>
      </c>
    </row>
    <row r="154" spans="5:8" x14ac:dyDescent="0.35">
      <c r="E154" s="3" t="b">
        <f>_xlfn.XLOOKUP(Table135[[#This Row],[Category]],$K$4:$K$34,$J$4:$J$34,FALSE)</f>
        <v>0</v>
      </c>
      <c r="F154" s="2"/>
      <c r="G154" s="129"/>
      <c r="H154" s="127">
        <f t="shared" si="2"/>
        <v>966.33</v>
      </c>
    </row>
    <row r="155" spans="5:8" x14ac:dyDescent="0.35">
      <c r="E155" s="3" t="b">
        <f>_xlfn.XLOOKUP(Table135[[#This Row],[Category]],$K$4:$K$34,$J$4:$J$34,FALSE)</f>
        <v>0</v>
      </c>
      <c r="F155" s="2"/>
      <c r="G155" s="129"/>
      <c r="H155" s="127">
        <f t="shared" si="2"/>
        <v>966.33</v>
      </c>
    </row>
    <row r="156" spans="5:8" x14ac:dyDescent="0.35">
      <c r="E156" s="3" t="b">
        <f>_xlfn.XLOOKUP(Table135[[#This Row],[Category]],$K$4:$K$34,$J$4:$J$34,FALSE)</f>
        <v>0</v>
      </c>
      <c r="F156" s="2"/>
      <c r="G156" s="129"/>
      <c r="H156" s="127">
        <f t="shared" si="2"/>
        <v>966.33</v>
      </c>
    </row>
    <row r="157" spans="5:8" x14ac:dyDescent="0.35">
      <c r="E157" s="3" t="b">
        <f>_xlfn.XLOOKUP(Table135[[#This Row],[Category]],$K$4:$K$34,$J$4:$J$34,FALSE)</f>
        <v>0</v>
      </c>
      <c r="F157" s="2"/>
      <c r="G157" s="129"/>
      <c r="H157" s="127">
        <f t="shared" si="2"/>
        <v>966.33</v>
      </c>
    </row>
    <row r="158" spans="5:8" x14ac:dyDescent="0.35">
      <c r="E158" s="3" t="b">
        <f>_xlfn.XLOOKUP(Table135[[#This Row],[Category]],$K$4:$K$34,$J$4:$J$34,FALSE)</f>
        <v>0</v>
      </c>
      <c r="F158" s="2"/>
      <c r="G158" s="129"/>
      <c r="H158" s="127">
        <f t="shared" si="2"/>
        <v>966.33</v>
      </c>
    </row>
    <row r="159" spans="5:8" x14ac:dyDescent="0.35">
      <c r="E159" s="3" t="b">
        <f>_xlfn.XLOOKUP(Table135[[#This Row],[Category]],$K$4:$K$34,$J$4:$J$34,FALSE)</f>
        <v>0</v>
      </c>
      <c r="F159" s="2"/>
      <c r="G159" s="129"/>
      <c r="H159" s="127">
        <f t="shared" si="2"/>
        <v>966.33</v>
      </c>
    </row>
    <row r="160" spans="5:8" x14ac:dyDescent="0.35">
      <c r="E160" s="3" t="b">
        <f>_xlfn.XLOOKUP(Table135[[#This Row],[Category]],$K$4:$K$34,$J$4:$J$34,FALSE)</f>
        <v>0</v>
      </c>
      <c r="F160" s="2"/>
      <c r="G160" s="129"/>
      <c r="H160" s="127">
        <f t="shared" si="2"/>
        <v>966.33</v>
      </c>
    </row>
    <row r="161" spans="5:8" x14ac:dyDescent="0.35">
      <c r="E161" s="3" t="b">
        <f>_xlfn.XLOOKUP(Table135[[#This Row],[Category]],$K$4:$K$34,$J$4:$J$34,FALSE)</f>
        <v>0</v>
      </c>
      <c r="F161" s="3"/>
      <c r="G161" s="129"/>
      <c r="H161" s="127">
        <f t="shared" si="2"/>
        <v>966.33</v>
      </c>
    </row>
  </sheetData>
  <conditionalFormatting sqref="G1:G1048576">
    <cfRule type="cellIs" dxfId="3" priority="1" operator="lessThan">
      <formula>0</formula>
    </cfRule>
    <cfRule type="cellIs" dxfId="2" priority="2" operator="greaterThan">
      <formula>0</formula>
    </cfRule>
  </conditionalFormatting>
  <dataValidations count="1">
    <dataValidation type="list" allowBlank="1" showInputMessage="1" showErrorMessage="1" sqref="F1:F160" xr:uid="{26B5B98D-C14A-4327-9BFC-4795D1A151A6}">
      <formula1>$K$4:$K$34</formula1>
    </dataValidation>
  </dataValidations>
  <pageMargins left="0.75" right="0.75" top="1" bottom="1" header="0.5" footer="0.5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CB38-49DF-411D-82A5-5B7D8377E291}">
  <sheetPr codeName="Sheet1"/>
  <dimension ref="A1:R61"/>
  <sheetViews>
    <sheetView showGridLines="0" tabSelected="1" workbookViewId="0">
      <selection activeCell="G51" sqref="G51"/>
    </sheetView>
  </sheetViews>
  <sheetFormatPr defaultColWidth="11.15234375" defaultRowHeight="15.5" x14ac:dyDescent="0.35"/>
  <cols>
    <col min="1" max="1" width="5.69140625" customWidth="1"/>
    <col min="2" max="2" width="41.07421875" customWidth="1"/>
    <col min="3" max="3" width="17.53515625" customWidth="1"/>
    <col min="4" max="4" width="13" customWidth="1"/>
    <col min="5" max="5" width="13.69140625" bestFit="1" customWidth="1"/>
    <col min="6" max="6" width="6.84375" customWidth="1"/>
    <col min="7" max="7" width="18.765625" customWidth="1"/>
    <col min="8" max="8" width="16.53515625" bestFit="1" customWidth="1"/>
    <col min="10" max="10" width="7.3046875" customWidth="1"/>
    <col min="11" max="11" width="33.921875" customWidth="1"/>
    <col min="12" max="12" width="12.61328125" customWidth="1"/>
    <col min="13" max="13" width="11.4609375" customWidth="1"/>
    <col min="15" max="15" width="22.3046875" customWidth="1"/>
    <col min="16" max="16" width="38.61328125" customWidth="1"/>
  </cols>
  <sheetData>
    <row r="1" spans="1:18" x14ac:dyDescent="0.3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49" customHeight="1" x14ac:dyDescent="0.35">
      <c r="A2" s="67"/>
      <c r="B2" s="186" t="s">
        <v>273</v>
      </c>
      <c r="C2" s="70"/>
      <c r="D2" s="70"/>
      <c r="E2" s="58" t="e" vm="2">
        <v>#VALUE!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x14ac:dyDescent="0.3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8" x14ac:dyDescent="0.4">
      <c r="A4" s="67"/>
      <c r="B4" s="19" t="s">
        <v>11</v>
      </c>
      <c r="C4" s="32" t="s">
        <v>186</v>
      </c>
      <c r="D4" s="33" t="s">
        <v>187</v>
      </c>
      <c r="E4" s="37" t="s">
        <v>38</v>
      </c>
      <c r="F4" s="67"/>
      <c r="G4" s="154" t="s">
        <v>238</v>
      </c>
      <c r="H4" s="154" t="s">
        <v>233</v>
      </c>
      <c r="I4" s="67"/>
      <c r="J4" s="67"/>
      <c r="K4" s="133" t="s">
        <v>206</v>
      </c>
      <c r="L4" s="73"/>
      <c r="M4" s="143" t="s">
        <v>230</v>
      </c>
      <c r="N4" s="67"/>
      <c r="O4" s="67"/>
      <c r="P4" s="67"/>
      <c r="Q4" s="67"/>
      <c r="R4" s="67"/>
    </row>
    <row r="5" spans="1:18" ht="18" x14ac:dyDescent="0.4">
      <c r="A5" s="67"/>
      <c r="B5" s="9" t="s">
        <v>240</v>
      </c>
      <c r="C5" s="164">
        <v>15000</v>
      </c>
      <c r="D5" s="14">
        <f>SUMIF(Table13[Category],B5,Table13[Total])</f>
        <v>14845</v>
      </c>
      <c r="E5" s="38">
        <f>(D5/C5)</f>
        <v>0.98966666666666669</v>
      </c>
      <c r="F5" s="67"/>
      <c r="G5" s="153">
        <f>SUM(H27:H28)-7500</f>
        <v>19783.920000000002</v>
      </c>
      <c r="H5" s="153">
        <f>D13-C38</f>
        <v>-6760.7000000000007</v>
      </c>
      <c r="I5" s="67"/>
      <c r="J5" s="67"/>
      <c r="K5" s="139" t="s">
        <v>207</v>
      </c>
      <c r="L5" s="142">
        <f>SUM(L6:L11)</f>
        <v>24170.53</v>
      </c>
      <c r="M5" s="146">
        <f>SUM(D13,I27)</f>
        <v>24170.53</v>
      </c>
      <c r="N5" s="67"/>
      <c r="O5" s="67"/>
      <c r="P5" s="67"/>
      <c r="Q5" s="67"/>
      <c r="R5" s="67"/>
    </row>
    <row r="6" spans="1:18" ht="18" x14ac:dyDescent="0.35">
      <c r="A6" s="67"/>
      <c r="B6" s="9" t="s">
        <v>145</v>
      </c>
      <c r="C6" s="164">
        <f>SUM(C7:C12)</f>
        <v>20500</v>
      </c>
      <c r="D6" s="34">
        <f>SUM(D7:D12)</f>
        <v>9324.2999999999993</v>
      </c>
      <c r="E6" s="38">
        <f>(D6/C6)</f>
        <v>0.45484390243902434</v>
      </c>
      <c r="F6" s="67"/>
      <c r="G6" s="69" t="s">
        <v>40</v>
      </c>
      <c r="H6" s="69" t="s">
        <v>234</v>
      </c>
      <c r="I6" s="67"/>
      <c r="J6" s="67"/>
      <c r="K6" s="134" t="s">
        <v>200</v>
      </c>
      <c r="L6" s="135">
        <f>SUM(D10:D11)</f>
        <v>4906.3</v>
      </c>
      <c r="M6" s="144" t="str">
        <f>IF(L5=M5,"Valid","Invalid")</f>
        <v>Valid</v>
      </c>
      <c r="N6" s="67"/>
      <c r="O6" s="67"/>
      <c r="P6" s="67"/>
      <c r="Q6" s="67"/>
      <c r="R6" s="67"/>
    </row>
    <row r="7" spans="1:18" ht="17.5" x14ac:dyDescent="0.35">
      <c r="A7" s="67"/>
      <c r="B7" s="41" t="s">
        <v>241</v>
      </c>
      <c r="C7" s="88">
        <v>5000</v>
      </c>
      <c r="D7" s="53">
        <f>SUMIF(Table13[Category],B7,Table13[Total])</f>
        <v>0</v>
      </c>
      <c r="E7" s="44"/>
      <c r="F7" s="67"/>
      <c r="G7" s="67"/>
      <c r="H7" s="67"/>
      <c r="I7" s="67"/>
      <c r="J7" s="67"/>
      <c r="K7" s="134" t="s">
        <v>201</v>
      </c>
      <c r="L7" s="135">
        <f>D12</f>
        <v>1250</v>
      </c>
      <c r="M7" s="145"/>
      <c r="N7" s="67"/>
      <c r="O7" s="67"/>
      <c r="P7" s="67"/>
      <c r="Q7" s="67"/>
      <c r="R7" s="67"/>
    </row>
    <row r="8" spans="1:18" ht="17.5" x14ac:dyDescent="0.35">
      <c r="A8" s="67"/>
      <c r="B8" s="41" t="s">
        <v>242</v>
      </c>
      <c r="C8" s="88">
        <v>1500</v>
      </c>
      <c r="D8" s="53">
        <f>SUMIF(Table13[Category],B8,Table13[Total])</f>
        <v>100</v>
      </c>
      <c r="E8" s="44"/>
      <c r="F8" s="67"/>
      <c r="G8" s="67"/>
      <c r="H8" s="67"/>
      <c r="I8" s="67"/>
      <c r="J8" s="67"/>
      <c r="K8" s="134" t="s">
        <v>202</v>
      </c>
      <c r="L8" s="74"/>
      <c r="M8" s="145"/>
      <c r="N8" s="67"/>
      <c r="O8" s="67"/>
      <c r="P8" s="67"/>
      <c r="Q8" s="67"/>
      <c r="R8" s="67"/>
    </row>
    <row r="9" spans="1:18" ht="17.5" x14ac:dyDescent="0.35">
      <c r="A9" s="67"/>
      <c r="B9" s="41" t="s">
        <v>159</v>
      </c>
      <c r="C9" s="88">
        <v>6000</v>
      </c>
      <c r="D9" s="53">
        <f>SUMIF(Table13[Category],B9,Table13[Total])</f>
        <v>3068</v>
      </c>
      <c r="E9" s="44"/>
      <c r="F9" s="67"/>
      <c r="G9" s="175" t="s">
        <v>240</v>
      </c>
      <c r="H9" s="179">
        <f>D5</f>
        <v>14845</v>
      </c>
      <c r="I9" s="55">
        <f>H9/$H$16</f>
        <v>0.61420893447472624</v>
      </c>
      <c r="J9" s="67"/>
      <c r="K9" s="134" t="s">
        <v>203</v>
      </c>
      <c r="L9" s="135">
        <f>I27</f>
        <v>1.23</v>
      </c>
      <c r="M9" s="145"/>
      <c r="N9" s="67"/>
      <c r="O9" s="67"/>
      <c r="P9" s="67"/>
      <c r="Q9" s="67"/>
      <c r="R9" s="67"/>
    </row>
    <row r="10" spans="1:18" ht="17.5" x14ac:dyDescent="0.35">
      <c r="A10" s="67"/>
      <c r="B10" s="41" t="s">
        <v>35</v>
      </c>
      <c r="C10" s="88">
        <v>1500</v>
      </c>
      <c r="D10" s="53">
        <f>SUMIF(Table13[Category],B10,Table13[Total])</f>
        <v>532.29999999999995</v>
      </c>
      <c r="E10" s="44"/>
      <c r="F10" s="67"/>
      <c r="G10" s="176" t="s">
        <v>241</v>
      </c>
      <c r="H10" s="180">
        <f t="shared" ref="H10:H15" si="0">D7</f>
        <v>0</v>
      </c>
      <c r="I10" s="57">
        <f>H10/$H$16</f>
        <v>0</v>
      </c>
      <c r="J10" s="67"/>
      <c r="K10" s="134" t="s">
        <v>204</v>
      </c>
      <c r="L10" s="74"/>
      <c r="M10" s="145"/>
      <c r="N10" s="67"/>
      <c r="O10" s="67"/>
      <c r="P10" s="67"/>
      <c r="Q10" s="67"/>
      <c r="R10" s="67"/>
    </row>
    <row r="11" spans="1:18" x14ac:dyDescent="0.35">
      <c r="A11" s="67"/>
      <c r="B11" s="159" t="s">
        <v>195</v>
      </c>
      <c r="C11" s="88">
        <v>5000</v>
      </c>
      <c r="D11" s="53">
        <f>SUMIF(Table13[Category],B11,Table13[Total])</f>
        <v>4374</v>
      </c>
      <c r="E11" s="93"/>
      <c r="F11" s="67"/>
      <c r="G11" s="176" t="s">
        <v>242</v>
      </c>
      <c r="H11" s="180">
        <f t="shared" si="0"/>
        <v>100</v>
      </c>
      <c r="I11" s="57">
        <f>H11/$H$16</f>
        <v>4.1374801918135822E-3</v>
      </c>
      <c r="J11" s="67"/>
      <c r="K11" s="134" t="s">
        <v>205</v>
      </c>
      <c r="L11" s="135">
        <f>SUM(D5,D7:D9)</f>
        <v>18013</v>
      </c>
      <c r="M11" s="145"/>
      <c r="N11" s="67"/>
      <c r="O11" s="67"/>
      <c r="P11" s="67"/>
      <c r="Q11" s="67"/>
      <c r="R11" s="67"/>
    </row>
    <row r="12" spans="1:18" x14ac:dyDescent="0.35">
      <c r="A12" s="67"/>
      <c r="B12" s="159" t="s">
        <v>229</v>
      </c>
      <c r="C12" s="88">
        <v>1500</v>
      </c>
      <c r="D12" s="53">
        <f>SUMIF(Table13[Category],B12,Table13[Total])</f>
        <v>1250</v>
      </c>
      <c r="E12" s="93"/>
      <c r="F12" s="67"/>
      <c r="G12" s="176" t="s">
        <v>159</v>
      </c>
      <c r="H12" s="180">
        <f t="shared" si="0"/>
        <v>3068</v>
      </c>
      <c r="I12" s="57">
        <f>H12/$H$16</f>
        <v>0.1269378922848407</v>
      </c>
      <c r="J12" s="67"/>
      <c r="K12" s="140"/>
      <c r="L12" s="58"/>
      <c r="M12" s="145"/>
      <c r="N12" s="67"/>
      <c r="O12" s="67"/>
      <c r="P12" s="67"/>
      <c r="Q12" s="67"/>
      <c r="R12" s="67"/>
    </row>
    <row r="13" spans="1:18" ht="18" x14ac:dyDescent="0.4">
      <c r="A13" s="67"/>
      <c r="B13" s="16" t="s">
        <v>15</v>
      </c>
      <c r="C13" s="165">
        <f>SUM(C5:C6)</f>
        <v>35500</v>
      </c>
      <c r="D13" s="18">
        <f>SUM(D5:D6)</f>
        <v>24169.3</v>
      </c>
      <c r="E13" s="39">
        <f>D13/C13</f>
        <v>0.68082535211267603</v>
      </c>
      <c r="F13" s="67"/>
      <c r="G13" s="176" t="s">
        <v>35</v>
      </c>
      <c r="H13" s="181">
        <f t="shared" si="0"/>
        <v>532.29999999999995</v>
      </c>
      <c r="I13" s="174"/>
      <c r="J13" s="67"/>
      <c r="K13" s="139" t="s">
        <v>208</v>
      </c>
      <c r="L13" s="141">
        <f>SUM(L14:L24)</f>
        <v>5286.7300000000005</v>
      </c>
      <c r="M13" s="146">
        <f>D38</f>
        <v>5286.73</v>
      </c>
      <c r="N13" s="67"/>
      <c r="O13" s="67"/>
      <c r="P13" s="67"/>
      <c r="Q13" s="67"/>
      <c r="R13" s="67"/>
    </row>
    <row r="14" spans="1:18" ht="18" x14ac:dyDescent="0.4">
      <c r="A14" s="67"/>
      <c r="B14" s="20" t="s">
        <v>16</v>
      </c>
      <c r="C14" s="6"/>
      <c r="D14" s="7"/>
      <c r="E14" s="35"/>
      <c r="F14" s="67"/>
      <c r="G14" s="177" t="s">
        <v>195</v>
      </c>
      <c r="H14" s="181">
        <f t="shared" si="0"/>
        <v>4374</v>
      </c>
      <c r="I14" s="174"/>
      <c r="J14" s="67"/>
      <c r="K14" s="136" t="s">
        <v>209</v>
      </c>
      <c r="L14" s="135">
        <f>SUM(D21,D25,D33)</f>
        <v>3888.1</v>
      </c>
      <c r="M14" s="144" t="str">
        <f>IF(L13=M13,"Valid","Invalid")</f>
        <v>Valid</v>
      </c>
      <c r="N14" s="67"/>
      <c r="O14" s="67"/>
      <c r="P14" s="67"/>
      <c r="Q14" s="67"/>
      <c r="R14" s="67"/>
    </row>
    <row r="15" spans="1:18" ht="18" x14ac:dyDescent="0.4">
      <c r="A15" s="67"/>
      <c r="B15" s="11" t="s">
        <v>17</v>
      </c>
      <c r="C15" s="15">
        <f>SUM(C16:C20)</f>
        <v>1430</v>
      </c>
      <c r="D15" s="12">
        <f>SUM(D16:D20)</f>
        <v>1398.63</v>
      </c>
      <c r="E15" s="40">
        <f>D15/C15</f>
        <v>0.97806293706293712</v>
      </c>
      <c r="F15" s="67"/>
      <c r="G15" s="178" t="s">
        <v>229</v>
      </c>
      <c r="H15" s="182">
        <f t="shared" si="0"/>
        <v>1250</v>
      </c>
      <c r="I15" s="57">
        <f>H15/$H$16</f>
        <v>5.1718502397669772E-2</v>
      </c>
      <c r="J15" s="67"/>
      <c r="K15" s="136" t="s">
        <v>217</v>
      </c>
      <c r="L15" s="135">
        <f>SUM(D30)</f>
        <v>0</v>
      </c>
      <c r="M15" s="61"/>
      <c r="N15" s="67"/>
      <c r="O15" s="67"/>
      <c r="P15" s="67"/>
      <c r="Q15" s="67"/>
      <c r="R15" s="67"/>
    </row>
    <row r="16" spans="1:18" ht="17.5" x14ac:dyDescent="0.35">
      <c r="A16" s="67"/>
      <c r="B16" s="41" t="s">
        <v>10</v>
      </c>
      <c r="C16" s="88">
        <v>850</v>
      </c>
      <c r="D16" s="43">
        <f>ABS(SUMIF(Table13[Category],B16,Table13[Total]))</f>
        <v>850</v>
      </c>
      <c r="E16" s="44"/>
      <c r="F16" s="67"/>
      <c r="G16" s="62" t="s">
        <v>15</v>
      </c>
      <c r="H16" s="63">
        <f>SUM(H9:H15)</f>
        <v>24169.3</v>
      </c>
      <c r="I16" s="58"/>
      <c r="J16" s="67"/>
      <c r="K16" s="136" t="s">
        <v>210</v>
      </c>
      <c r="L16" s="135">
        <f>D16</f>
        <v>850</v>
      </c>
      <c r="M16" s="61"/>
      <c r="N16" s="67"/>
      <c r="O16" s="67"/>
      <c r="P16" s="67"/>
      <c r="Q16" s="67"/>
      <c r="R16" s="67"/>
    </row>
    <row r="17" spans="1:18" ht="17.5" x14ac:dyDescent="0.35">
      <c r="A17" s="67"/>
      <c r="B17" s="41" t="s">
        <v>176</v>
      </c>
      <c r="C17" s="88">
        <v>100</v>
      </c>
      <c r="D17" s="43">
        <f>ABS(SUMIF(Table13[Category],B17,Table13[Total]))</f>
        <v>97.63</v>
      </c>
      <c r="E17" s="44"/>
      <c r="F17" s="67"/>
      <c r="G17" s="67"/>
      <c r="H17" s="67"/>
      <c r="I17" s="67"/>
      <c r="J17" s="67"/>
      <c r="K17" s="136" t="s">
        <v>197</v>
      </c>
      <c r="L17" s="135">
        <f>SUM(D18)</f>
        <v>40</v>
      </c>
      <c r="M17" s="61"/>
      <c r="N17" s="67"/>
      <c r="O17" s="67"/>
      <c r="P17" s="67"/>
      <c r="Q17" s="67"/>
      <c r="R17" s="67"/>
    </row>
    <row r="18" spans="1:18" x14ac:dyDescent="0.35">
      <c r="A18" s="67"/>
      <c r="B18" s="41" t="s">
        <v>197</v>
      </c>
      <c r="C18" s="157">
        <v>50</v>
      </c>
      <c r="D18" s="43">
        <f>ABS(SUMIF(Table13[Category],B18,Table13[Total]))</f>
        <v>40</v>
      </c>
      <c r="E18" s="93"/>
      <c r="F18" s="67"/>
      <c r="G18" s="107" t="s">
        <v>243</v>
      </c>
      <c r="H18" s="54">
        <f>D21</f>
        <v>1250</v>
      </c>
      <c r="I18" s="55">
        <f>H18/$H$23</f>
        <v>0.23644105146281347</v>
      </c>
      <c r="J18" s="67"/>
      <c r="K18" s="136" t="s">
        <v>211</v>
      </c>
      <c r="L18" s="135">
        <f>D17</f>
        <v>97.63</v>
      </c>
      <c r="M18" s="61"/>
      <c r="N18" s="67"/>
      <c r="O18" s="67"/>
      <c r="P18" s="67"/>
      <c r="Q18" s="67"/>
      <c r="R18" s="67"/>
    </row>
    <row r="19" spans="1:18" ht="17.5" x14ac:dyDescent="0.35">
      <c r="A19" s="67"/>
      <c r="B19" s="41" t="s">
        <v>237</v>
      </c>
      <c r="C19" s="88">
        <v>180</v>
      </c>
      <c r="D19" s="43">
        <f>ABS(SUMIF(Table13[Category],B19,Table13[Total]))</f>
        <v>180</v>
      </c>
      <c r="E19" s="44"/>
      <c r="F19" s="67"/>
      <c r="G19" s="61" t="s">
        <v>50</v>
      </c>
      <c r="H19" s="56">
        <f>D25</f>
        <v>2515</v>
      </c>
      <c r="I19" s="57">
        <f>H19/$H$23</f>
        <v>0.47571939554318071</v>
      </c>
      <c r="J19" s="67"/>
      <c r="K19" s="136" t="s">
        <v>212</v>
      </c>
      <c r="L19" s="135">
        <f>D20</f>
        <v>231</v>
      </c>
      <c r="M19" s="61"/>
      <c r="N19" s="67"/>
      <c r="O19" s="67"/>
      <c r="P19" s="67"/>
      <c r="Q19" s="67"/>
      <c r="R19" s="67"/>
    </row>
    <row r="20" spans="1:18" ht="17.5" x14ac:dyDescent="0.35">
      <c r="A20" s="67"/>
      <c r="B20" s="41" t="s">
        <v>20</v>
      </c>
      <c r="C20" s="88">
        <v>250</v>
      </c>
      <c r="D20" s="43">
        <f>ABS(SUMIF(Table13[Category],B20,Table13[Total]))</f>
        <v>231</v>
      </c>
      <c r="E20" s="44"/>
      <c r="F20" s="67"/>
      <c r="G20" s="61" t="s">
        <v>47</v>
      </c>
      <c r="H20" s="56">
        <f>D15</f>
        <v>1398.63</v>
      </c>
      <c r="I20" s="57">
        <f>H20/$H$23</f>
        <v>0.26455483824594789</v>
      </c>
      <c r="J20" s="67"/>
      <c r="K20" s="136" t="s">
        <v>213</v>
      </c>
      <c r="L20" s="135">
        <f>D19</f>
        <v>180</v>
      </c>
      <c r="M20" s="61"/>
      <c r="N20" s="67"/>
      <c r="O20" s="67"/>
      <c r="P20" s="67"/>
      <c r="Q20" s="67"/>
      <c r="R20" s="67"/>
    </row>
    <row r="21" spans="1:18" ht="18" x14ac:dyDescent="0.4">
      <c r="A21" s="67"/>
      <c r="B21" s="10" t="s">
        <v>243</v>
      </c>
      <c r="C21" s="166">
        <f>SUM(C22:C24)</f>
        <v>11500</v>
      </c>
      <c r="D21" s="8">
        <f>SUM(D22:D24)</f>
        <v>1250</v>
      </c>
      <c r="E21" s="38">
        <f>D21/C21</f>
        <v>0.10869565217391304</v>
      </c>
      <c r="F21" s="67"/>
      <c r="G21" s="61" t="s">
        <v>51</v>
      </c>
      <c r="H21" s="56">
        <f>D30</f>
        <v>0</v>
      </c>
      <c r="I21" s="57">
        <f>H21/$H$23</f>
        <v>0</v>
      </c>
      <c r="J21" s="67"/>
      <c r="K21" s="136" t="s">
        <v>214</v>
      </c>
      <c r="L21" s="74"/>
      <c r="M21" s="61"/>
      <c r="N21" s="67"/>
      <c r="O21" s="67"/>
      <c r="P21" s="67"/>
      <c r="Q21" s="67"/>
      <c r="R21" s="67"/>
    </row>
    <row r="22" spans="1:18" ht="17.5" x14ac:dyDescent="0.35">
      <c r="A22" s="67"/>
      <c r="B22" s="92" t="s">
        <v>149</v>
      </c>
      <c r="C22" s="121">
        <v>5000</v>
      </c>
      <c r="D22" s="82">
        <f>ABS(SUMIF(Table13[Category],B22,Table13[Total]))</f>
        <v>0</v>
      </c>
      <c r="E22" s="51"/>
      <c r="F22" s="67"/>
      <c r="G22" s="61" t="s">
        <v>46</v>
      </c>
      <c r="H22" s="56">
        <f>D33</f>
        <v>123.1</v>
      </c>
      <c r="I22" s="57">
        <f>H22/$H$23</f>
        <v>2.3284714748057871E-2</v>
      </c>
      <c r="J22" s="67"/>
      <c r="K22" s="136" t="s">
        <v>215</v>
      </c>
      <c r="L22" s="74"/>
      <c r="M22" s="61"/>
      <c r="N22" s="67"/>
      <c r="O22" s="67"/>
      <c r="P22" s="67"/>
      <c r="Q22" s="67"/>
      <c r="R22" s="67"/>
    </row>
    <row r="23" spans="1:18" x14ac:dyDescent="0.35">
      <c r="A23" s="67"/>
      <c r="B23" s="92" t="s">
        <v>150</v>
      </c>
      <c r="C23" s="158">
        <v>5000</v>
      </c>
      <c r="D23" s="82">
        <f>ABS(SUMIF(Table13[Category],B23,Table13[Total]))</f>
        <v>0</v>
      </c>
      <c r="E23" s="93"/>
      <c r="F23" s="67"/>
      <c r="G23" s="64" t="s">
        <v>48</v>
      </c>
      <c r="H23" s="65">
        <f>SUM(H18:H22)</f>
        <v>5286.7300000000005</v>
      </c>
      <c r="I23" s="58"/>
      <c r="J23" s="67"/>
      <c r="K23" s="136" t="s">
        <v>216</v>
      </c>
      <c r="L23" s="74"/>
      <c r="M23" s="61"/>
      <c r="N23" s="67"/>
      <c r="O23" s="67"/>
      <c r="P23" s="67"/>
      <c r="Q23" s="67"/>
      <c r="R23" s="67"/>
    </row>
    <row r="24" spans="1:18" ht="18" customHeight="1" x14ac:dyDescent="0.35">
      <c r="A24" s="67"/>
      <c r="B24" s="41" t="s">
        <v>239</v>
      </c>
      <c r="C24" s="163">
        <v>1500</v>
      </c>
      <c r="D24" s="43">
        <f>ABS(SUMIF(Table13[Category],B24,Table13[Total]))</f>
        <v>1250</v>
      </c>
      <c r="E24" s="52"/>
      <c r="F24" s="67"/>
      <c r="G24" s="67"/>
      <c r="H24" s="67"/>
      <c r="I24" s="67"/>
      <c r="J24" s="67"/>
      <c r="K24" s="137" t="s">
        <v>218</v>
      </c>
      <c r="L24" s="138"/>
      <c r="M24" s="108"/>
      <c r="N24" s="67"/>
      <c r="O24" s="67"/>
      <c r="P24" s="67"/>
      <c r="Q24" s="67"/>
      <c r="R24" s="67"/>
    </row>
    <row r="25" spans="1:18" ht="18" x14ac:dyDescent="0.4">
      <c r="A25" s="67"/>
      <c r="B25" s="9" t="s">
        <v>53</v>
      </c>
      <c r="C25" s="164">
        <f>SUM(C26:C29)</f>
        <v>12000</v>
      </c>
      <c r="D25" s="8">
        <f>SUM(D26:D29)</f>
        <v>2515</v>
      </c>
      <c r="E25" s="38">
        <f>D25/C25</f>
        <v>0.20958333333333334</v>
      </c>
      <c r="F25" s="67"/>
      <c r="G25" s="67"/>
      <c r="H25" s="67"/>
      <c r="I25" s="67"/>
      <c r="J25" s="67"/>
      <c r="K25" s="147"/>
      <c r="L25" s="72"/>
      <c r="M25" s="73"/>
      <c r="N25" s="67"/>
      <c r="O25" s="67"/>
      <c r="P25" s="67"/>
      <c r="Q25" s="67"/>
      <c r="R25" s="67"/>
    </row>
    <row r="26" spans="1:18" ht="18" x14ac:dyDescent="0.4">
      <c r="A26" s="67"/>
      <c r="B26" s="41" t="s">
        <v>8</v>
      </c>
      <c r="C26" s="88">
        <v>3500</v>
      </c>
      <c r="D26" s="43">
        <f>ABS(SUMIF(Table13[Category],B26,Table13[Total]))</f>
        <v>1119.1400000000001</v>
      </c>
      <c r="E26" s="44"/>
      <c r="F26" s="67"/>
      <c r="G26" s="19" t="s">
        <v>224</v>
      </c>
      <c r="H26" s="31"/>
      <c r="I26" s="132" t="s">
        <v>190</v>
      </c>
      <c r="J26" s="67"/>
      <c r="K26" s="149" t="s">
        <v>231</v>
      </c>
      <c r="L26" s="150">
        <f>SUM(H31:H32)</f>
        <v>8400.1200000000008</v>
      </c>
      <c r="M26" s="73"/>
      <c r="N26" s="67"/>
      <c r="O26" s="67"/>
      <c r="P26" s="67"/>
      <c r="Q26" s="67"/>
      <c r="R26" s="67"/>
    </row>
    <row r="27" spans="1:18" ht="18" x14ac:dyDescent="0.4">
      <c r="A27" s="67"/>
      <c r="B27" s="41" t="s">
        <v>7</v>
      </c>
      <c r="C27" s="88">
        <v>4000</v>
      </c>
      <c r="D27" s="43">
        <f>ABS(SUMIF(Table13[Category],B27,Table13[Total]))</f>
        <v>1395.8600000000001</v>
      </c>
      <c r="E27" s="44"/>
      <c r="F27" s="67"/>
      <c r="G27" s="24" t="s">
        <v>33</v>
      </c>
      <c r="H27" s="124">
        <f>H31+I27</f>
        <v>7501.23</v>
      </c>
      <c r="I27" s="183">
        <v>1.23</v>
      </c>
      <c r="J27" s="67"/>
      <c r="K27" s="148" t="s">
        <v>232</v>
      </c>
      <c r="L27" s="151">
        <f>SUM(H27:H28)</f>
        <v>27283.920000000002</v>
      </c>
      <c r="M27" s="152" t="str">
        <f>IF((L26+L5-L13)=L27, "Valid", "Invalid")</f>
        <v>Valid</v>
      </c>
      <c r="N27" s="67"/>
      <c r="O27" s="67"/>
      <c r="P27" s="67"/>
      <c r="Q27" s="67"/>
      <c r="R27" s="67"/>
    </row>
    <row r="28" spans="1:18" ht="18" x14ac:dyDescent="0.4">
      <c r="A28" s="67"/>
      <c r="B28" s="41" t="s">
        <v>249</v>
      </c>
      <c r="C28" s="88">
        <v>2500</v>
      </c>
      <c r="D28" s="43">
        <f>ABS(SUMIF(Table13[Category],B28,Table13[Total]))</f>
        <v>0</v>
      </c>
      <c r="E28" s="44"/>
      <c r="F28" s="67"/>
      <c r="G28" s="27" t="s">
        <v>4</v>
      </c>
      <c r="H28" s="125">
        <f>'24-25 Accounting'!H46</f>
        <v>19782.690000000002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</row>
    <row r="29" spans="1:18" ht="17.5" x14ac:dyDescent="0.35">
      <c r="A29" s="67"/>
      <c r="B29" s="41" t="s">
        <v>244</v>
      </c>
      <c r="C29" s="88">
        <v>2000</v>
      </c>
      <c r="D29" s="43">
        <f>ABS(SUMIF(Table13[Category],B29,Table13[Total]))</f>
        <v>0</v>
      </c>
      <c r="E29" s="44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ht="18" x14ac:dyDescent="0.4">
      <c r="A30" s="67"/>
      <c r="B30" s="9" t="s">
        <v>52</v>
      </c>
      <c r="C30" s="166">
        <f>SUM(C31:C32)</f>
        <v>4500</v>
      </c>
      <c r="D30" s="8">
        <f>SUM(D31:D32)</f>
        <v>0</v>
      </c>
      <c r="E30" s="38">
        <f>D30/C30</f>
        <v>0</v>
      </c>
      <c r="F30" s="67"/>
      <c r="G30" s="19" t="s">
        <v>222</v>
      </c>
      <c r="H30" s="58"/>
      <c r="I30" s="67"/>
      <c r="J30" s="67"/>
      <c r="K30" s="67"/>
      <c r="L30" s="67"/>
      <c r="M30" s="67"/>
      <c r="N30" s="67"/>
      <c r="O30" s="67"/>
      <c r="P30" s="67"/>
      <c r="Q30" s="67"/>
      <c r="R30" s="67"/>
    </row>
    <row r="31" spans="1:18" ht="18" x14ac:dyDescent="0.4">
      <c r="A31" s="67"/>
      <c r="B31" s="41" t="s">
        <v>42</v>
      </c>
      <c r="C31" s="158">
        <v>1500</v>
      </c>
      <c r="D31" s="81">
        <f>ABS(SUMIF(Table13[Category],B31,Table13[Total]))</f>
        <v>0</v>
      </c>
      <c r="E31" s="44"/>
      <c r="F31" s="67"/>
      <c r="G31" s="24" t="s">
        <v>33</v>
      </c>
      <c r="H31" s="26">
        <v>7500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1:18" ht="18" x14ac:dyDescent="0.4">
      <c r="A32" s="67"/>
      <c r="B32" s="41" t="s">
        <v>37</v>
      </c>
      <c r="C32" s="88">
        <v>3000</v>
      </c>
      <c r="D32" s="81">
        <f>ABS(SUMIF(Table13[Category],B32,Table13[Total]))</f>
        <v>0</v>
      </c>
      <c r="E32" s="44"/>
      <c r="F32" s="67"/>
      <c r="G32" s="27" t="s">
        <v>4</v>
      </c>
      <c r="H32" s="29">
        <v>900.12</v>
      </c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1:18" ht="18" x14ac:dyDescent="0.4">
      <c r="A33" s="67"/>
      <c r="B33" s="9" t="s">
        <v>28</v>
      </c>
      <c r="C33" s="164">
        <f>SUM(C34:C37)</f>
        <v>1500</v>
      </c>
      <c r="D33" s="8">
        <f>SUM(D34:D37)</f>
        <v>123.1</v>
      </c>
      <c r="E33" s="38">
        <f>D33/C33</f>
        <v>8.2066666666666663E-2</v>
      </c>
      <c r="F33" s="67"/>
      <c r="G33" s="67"/>
      <c r="H33" s="67"/>
      <c r="I33" s="67"/>
      <c r="J33" s="67"/>
      <c r="K33" s="68" t="s">
        <v>191</v>
      </c>
      <c r="L33" s="67"/>
      <c r="M33" s="67"/>
      <c r="N33" s="68"/>
      <c r="O33" s="67"/>
      <c r="P33" s="67"/>
      <c r="Q33" s="67"/>
      <c r="R33" s="67"/>
    </row>
    <row r="34" spans="1:18" ht="17.5" x14ac:dyDescent="0.35">
      <c r="A34" s="67"/>
      <c r="B34" s="41" t="s">
        <v>245</v>
      </c>
      <c r="C34" s="88">
        <v>500</v>
      </c>
      <c r="D34" s="43">
        <f>ABS(SUMIF(Table13[Category],B34,Table13[Total]))</f>
        <v>0</v>
      </c>
      <c r="E34" s="44"/>
      <c r="F34" s="67"/>
      <c r="G34" s="68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</row>
    <row r="35" spans="1:18" ht="17.5" x14ac:dyDescent="0.35">
      <c r="A35" s="67"/>
      <c r="B35" s="41" t="s">
        <v>246</v>
      </c>
      <c r="C35" s="88">
        <v>500</v>
      </c>
      <c r="D35" s="43">
        <f>ABS(SUMIF(Table13[Category],B35,Table13[Total]))</f>
        <v>0</v>
      </c>
      <c r="E35" s="44"/>
      <c r="F35" s="67"/>
      <c r="G35" s="67"/>
      <c r="H35" s="160"/>
      <c r="I35" s="68"/>
      <c r="J35" s="67"/>
      <c r="K35" s="67"/>
      <c r="L35" s="67"/>
      <c r="M35" s="67"/>
      <c r="N35" s="67"/>
      <c r="O35" s="67"/>
      <c r="P35" s="67"/>
      <c r="Q35" s="67"/>
      <c r="R35" s="67"/>
    </row>
    <row r="36" spans="1:18" ht="17.5" x14ac:dyDescent="0.35">
      <c r="A36" s="67"/>
      <c r="B36" s="159" t="s">
        <v>247</v>
      </c>
      <c r="C36" s="88">
        <v>250</v>
      </c>
      <c r="D36" s="43">
        <f>ABS(SUMIF(Table13[Category],B36,Table13[Total]))</f>
        <v>0</v>
      </c>
      <c r="E36" s="44"/>
      <c r="F36" s="67"/>
      <c r="G36" s="161"/>
      <c r="H36" s="67"/>
      <c r="I36" s="67"/>
      <c r="J36" s="67"/>
      <c r="K36" s="67"/>
      <c r="L36" s="161"/>
      <c r="M36" s="67"/>
      <c r="N36" s="67"/>
      <c r="O36" s="67"/>
      <c r="P36" s="67"/>
      <c r="Q36" s="67"/>
      <c r="R36" s="67"/>
    </row>
    <row r="37" spans="1:18" ht="17.5" x14ac:dyDescent="0.35">
      <c r="A37" s="67"/>
      <c r="B37" s="41" t="s">
        <v>248</v>
      </c>
      <c r="C37" s="88">
        <v>250</v>
      </c>
      <c r="D37" s="43">
        <f>ABS(SUMIF(Table13[Category],B37,Table13[Total]))</f>
        <v>123.1</v>
      </c>
      <c r="E37" s="44"/>
      <c r="F37" s="67"/>
      <c r="G37" s="161"/>
      <c r="H37" s="160"/>
      <c r="I37" s="67"/>
      <c r="J37" s="160"/>
      <c r="K37" s="67"/>
      <c r="L37" s="161"/>
      <c r="M37" s="67"/>
      <c r="N37" s="67"/>
      <c r="O37" s="67"/>
      <c r="P37" s="67"/>
      <c r="Q37" s="67"/>
      <c r="R37" s="67"/>
    </row>
    <row r="38" spans="1:18" ht="18" x14ac:dyDescent="0.4">
      <c r="A38" s="67"/>
      <c r="B38" s="21" t="s">
        <v>34</v>
      </c>
      <c r="C38" s="167">
        <f>SUM(C33,C30,C25,C21,C15)</f>
        <v>30930</v>
      </c>
      <c r="D38" s="23">
        <f>SUM(D15,D25,D30,D33,D21)</f>
        <v>5286.73</v>
      </c>
      <c r="E38" s="36">
        <f>D38/C38</f>
        <v>0.17092563853863563</v>
      </c>
      <c r="F38" s="67"/>
      <c r="G38" s="67"/>
      <c r="H38" s="122"/>
      <c r="I38" s="67"/>
      <c r="J38" s="67"/>
      <c r="K38" s="67"/>
      <c r="L38" s="67"/>
      <c r="M38" s="67"/>
      <c r="N38" s="67"/>
      <c r="O38" s="67"/>
      <c r="P38" s="67"/>
      <c r="Q38" s="67"/>
      <c r="R38" s="67"/>
    </row>
    <row r="39" spans="1:18" x14ac:dyDescent="0.3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  <row r="40" spans="1:18" x14ac:dyDescent="0.35">
      <c r="A40" s="67"/>
      <c r="B40" s="162"/>
      <c r="C40" s="67"/>
      <c r="D40" s="67"/>
      <c r="E40" s="67"/>
      <c r="F40" s="67"/>
      <c r="G40" s="67"/>
      <c r="H40" s="122"/>
      <c r="I40" s="67"/>
      <c r="J40" s="67"/>
      <c r="K40" s="67"/>
      <c r="L40" s="67"/>
      <c r="M40" s="67"/>
      <c r="N40" s="67"/>
      <c r="O40" s="67"/>
      <c r="P40" s="67"/>
      <c r="Q40" s="67"/>
      <c r="R40" s="67"/>
    </row>
    <row r="41" spans="1:18" x14ac:dyDescent="0.3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</row>
    <row r="42" spans="1:18" x14ac:dyDescent="0.3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</row>
    <row r="43" spans="1:18" x14ac:dyDescent="0.3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  <row r="44" spans="1:18" x14ac:dyDescent="0.3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</row>
    <row r="45" spans="1:18" x14ac:dyDescent="0.35">
      <c r="A45" s="67"/>
      <c r="B45" s="67"/>
      <c r="C45" s="67"/>
      <c r="D45" s="67"/>
      <c r="E45" s="67"/>
      <c r="F45" s="67"/>
      <c r="G45" s="68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</row>
    <row r="46" spans="1:18" x14ac:dyDescent="0.3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</row>
    <row r="47" spans="1:18" x14ac:dyDescent="0.3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</row>
    <row r="48" spans="1:18" x14ac:dyDescent="0.3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</row>
    <row r="49" spans="1:18" x14ac:dyDescent="0.3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</row>
    <row r="50" spans="1:18" x14ac:dyDescent="0.3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</row>
    <row r="51" spans="1:18" x14ac:dyDescent="0.3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</row>
    <row r="52" spans="1:18" x14ac:dyDescent="0.35">
      <c r="A52" s="67"/>
      <c r="B52" s="67"/>
      <c r="C52" s="67"/>
      <c r="D52" s="67"/>
      <c r="E52" s="67"/>
      <c r="F52" s="67"/>
      <c r="G52" s="68" t="s">
        <v>191</v>
      </c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</row>
    <row r="53" spans="1:18" x14ac:dyDescent="0.3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1:18" x14ac:dyDescent="0.3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</row>
    <row r="55" spans="1:18" x14ac:dyDescent="0.3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</row>
    <row r="56" spans="1:18" x14ac:dyDescent="0.3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1:18" x14ac:dyDescent="0.3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1:18" x14ac:dyDescent="0.3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1:18" x14ac:dyDescent="0.3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1:18" x14ac:dyDescent="0.3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1:18" x14ac:dyDescent="0.3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</sheetData>
  <conditionalFormatting sqref="I9:I12 I15">
    <cfRule type="dataBar" priority="4">
      <dataBar>
        <cfvo type="min"/>
        <cfvo type="max"/>
        <color theme="9" tint="-0.249977111117893"/>
      </dataBar>
      <extLst>
        <ext xmlns:x14="http://schemas.microsoft.com/office/spreadsheetml/2009/9/main" uri="{B025F937-C7B1-47D3-B67F-A62EFF666E3E}">
          <x14:id>{DB45AFAE-2A31-40CC-B801-DBE311DC5851}</x14:id>
        </ext>
      </extLst>
    </cfRule>
  </conditionalFormatting>
  <conditionalFormatting sqref="I18:I22">
    <cfRule type="dataBar" priority="2">
      <dataBar>
        <cfvo type="min"/>
        <cfvo type="max"/>
        <color rgb="FFB00000"/>
      </dataBar>
      <extLst>
        <ext xmlns:x14="http://schemas.microsoft.com/office/spreadsheetml/2009/9/main" uri="{B025F937-C7B1-47D3-B67F-A62EFF666E3E}">
          <x14:id>{70FCB6F1-B66B-4D69-8FEB-A33F79DBCF45}</x14:id>
        </ext>
      </extLst>
    </cfRule>
  </conditionalFormatting>
  <dataValidations count="1">
    <dataValidation allowBlank="1" showErrorMessage="1" promptTitle="Increase $1000" prompt="Original amount was $500, voting to increase $1000" sqref="C31" xr:uid="{50779285-33F2-4E70-AB66-0F4687BFEBA7}"/>
  </dataValidations>
  <pageMargins left="0.7" right="0.7" top="0.75" bottom="0.75" header="0.3" footer="0.3"/>
  <pageSetup orientation="portrait" r:id="rId1"/>
  <ignoredErrors>
    <ignoredError sqref="D21 D25 D30 D33 D6 L19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45AFAE-2A31-40CC-B801-DBE311DC5851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I9:I12 I15</xm:sqref>
        </x14:conditionalFormatting>
        <x14:conditionalFormatting xmlns:xm="http://schemas.microsoft.com/office/excel/2006/main">
          <x14:cfRule type="dataBar" id="{70FCB6F1-B66B-4D69-8FEB-A33F79DBCF45}">
            <x14:dataBar minLength="0" maxLength="100" border="1" negativeBarBorderColorSameAsPositive="0">
              <x14:cfvo type="autoMin"/>
              <x14:cfvo type="autoMax"/>
              <x14:borderColor rgb="FF980000"/>
              <x14:negativeFillColor rgb="FFFF0000"/>
              <x14:negativeBorderColor rgb="FFFF0000"/>
              <x14:axisColor rgb="FF000000"/>
            </x14:dataBar>
          </x14:cfRule>
          <xm:sqref>I18:I22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9C8E366-5171-48E6-81D7-D329CCB76E53}">
          <x14:formula1>
            <xm:f>'24-25 Accounting'!$K$4:$K$10</xm:f>
          </x14:formula1>
          <xm:sqref>B7:B12 G10:G15</xm:sqref>
        </x14:dataValidation>
        <x14:dataValidation type="list" allowBlank="1" showInputMessage="1" showErrorMessage="1" xr:uid="{390B5F2E-793A-4D4F-9145-7E642C39C3DB}">
          <x14:formula1>
            <xm:f>'24-25 Accounting'!$K$11:$K$15</xm:f>
          </x14:formula1>
          <xm:sqref>B16:B20</xm:sqref>
        </x14:dataValidation>
        <x14:dataValidation type="list" allowBlank="1" showErrorMessage="1" xr:uid="{87D69DB2-B1F0-4BA7-B41A-64A5356FD593}">
          <x14:formula1>
            <xm:f>'24-25 Accounting'!$K$26:$K$29</xm:f>
          </x14:formula1>
          <xm:sqref>B34:B37</xm:sqref>
        </x14:dataValidation>
        <x14:dataValidation type="list" allowBlank="1" showInputMessage="1" showErrorMessage="1" xr:uid="{828C5532-BEC8-447D-BD64-B6EE5B58524C}">
          <x14:formula1>
            <xm:f>'24-25 Accounting'!$K$23:$K$25</xm:f>
          </x14:formula1>
          <xm:sqref>B31:B32</xm:sqref>
        </x14:dataValidation>
        <x14:dataValidation type="list" allowBlank="1" showInputMessage="1" showErrorMessage="1" xr:uid="{677DC9C3-0664-49F5-A41E-291C6AE82CE5}">
          <x14:formula1>
            <xm:f>'24-25 Accounting'!$K$19:$K$22</xm:f>
          </x14:formula1>
          <xm:sqref>B26:B29</xm:sqref>
        </x14:dataValidation>
        <x14:dataValidation type="list" allowBlank="1" showInputMessage="1" showErrorMessage="1" xr:uid="{11F9274B-7BA1-450F-9DFC-FDA67E9CB461}">
          <x14:formula1>
            <xm:f>'24-25 Accounting'!$K$16:$K$18</xm:f>
          </x14:formula1>
          <xm:sqref>B22:B24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0BB9B-7577-416D-81B5-C4684A211EFE}">
  <sheetPr codeName="Sheet2"/>
  <dimension ref="A1:K149"/>
  <sheetViews>
    <sheetView workbookViewId="0">
      <selection activeCell="I17" sqref="I17"/>
    </sheetView>
  </sheetViews>
  <sheetFormatPr defaultColWidth="11.15234375" defaultRowHeight="15.5" x14ac:dyDescent="0.35"/>
  <cols>
    <col min="1" max="1" width="11.15234375" style="4"/>
    <col min="2" max="2" width="8.765625" style="119" customWidth="1"/>
    <col min="3" max="3" width="11.61328125" style="172" customWidth="1"/>
    <col min="4" max="4" width="39.4609375" customWidth="1"/>
    <col min="5" max="5" width="19.84375" customWidth="1"/>
    <col min="6" max="6" width="21.3046875" customWidth="1"/>
    <col min="7" max="7" width="13.4609375" style="80" customWidth="1"/>
    <col min="8" max="8" width="17.15234375" style="80" customWidth="1"/>
    <col min="9" max="9" width="12.3046875" customWidth="1"/>
    <col min="10" max="10" width="19.23046875" customWidth="1"/>
    <col min="11" max="11" width="38.4609375" bestFit="1" customWidth="1"/>
  </cols>
  <sheetData>
    <row r="1" spans="1:11" x14ac:dyDescent="0.35">
      <c r="A1" s="91" t="s">
        <v>0</v>
      </c>
      <c r="B1" s="184" t="s">
        <v>184</v>
      </c>
      <c r="C1" s="185" t="s">
        <v>225</v>
      </c>
      <c r="D1" s="1" t="s">
        <v>137</v>
      </c>
      <c r="E1" s="2" t="s">
        <v>65</v>
      </c>
      <c r="F1" s="1" t="s">
        <v>1</v>
      </c>
      <c r="G1" s="79" t="s">
        <v>2</v>
      </c>
      <c r="H1" s="126" t="s">
        <v>226</v>
      </c>
      <c r="I1" s="2"/>
      <c r="J1" s="120"/>
    </row>
    <row r="2" spans="1:11" x14ac:dyDescent="0.35">
      <c r="A2" s="91">
        <v>45504</v>
      </c>
      <c r="C2" s="170"/>
      <c r="D2" s="2" t="s">
        <v>227</v>
      </c>
      <c r="E2" s="3"/>
      <c r="F2" s="2"/>
      <c r="G2" s="127"/>
      <c r="H2" s="131">
        <v>900.12</v>
      </c>
      <c r="I2" s="2"/>
      <c r="J2" s="120"/>
    </row>
    <row r="3" spans="1:11" x14ac:dyDescent="0.35">
      <c r="A3" s="89">
        <v>45513</v>
      </c>
      <c r="B3" s="118"/>
      <c r="C3" s="169"/>
      <c r="D3" s="1" t="s">
        <v>250</v>
      </c>
      <c r="E3" s="3" t="str">
        <f>_xlfn.XLOOKUP(Table13[[#This Row],[Category]],$K$4:$K$29,$J$4:$J$29," ")</f>
        <v>Income</v>
      </c>
      <c r="F3" s="2" t="s">
        <v>159</v>
      </c>
      <c r="G3" s="127">
        <v>1500.11</v>
      </c>
      <c r="H3" s="129">
        <f>$H2+$G3</f>
        <v>2400.23</v>
      </c>
      <c r="I3" s="1"/>
    </row>
    <row r="4" spans="1:11" x14ac:dyDescent="0.35">
      <c r="A4" s="91">
        <v>45513</v>
      </c>
      <c r="B4" s="117"/>
      <c r="C4" s="171"/>
      <c r="D4" s="1" t="s">
        <v>5</v>
      </c>
      <c r="E4" s="3" t="str">
        <f>_xlfn.XLOOKUP(Table13[[#This Row],[Category]],$K$4:$K$29,$J$4:$J$29," ")</f>
        <v>Income</v>
      </c>
      <c r="F4" s="2" t="s">
        <v>240</v>
      </c>
      <c r="G4" s="127">
        <v>2500</v>
      </c>
      <c r="H4" s="129">
        <f t="shared" ref="H4:H46" si="0">$H3+$G4</f>
        <v>4900.2299999999996</v>
      </c>
      <c r="I4" s="1"/>
      <c r="J4" t="s">
        <v>44</v>
      </c>
      <c r="K4" t="s">
        <v>240</v>
      </c>
    </row>
    <row r="5" spans="1:11" x14ac:dyDescent="0.35">
      <c r="A5" s="91">
        <v>45516</v>
      </c>
      <c r="B5" s="117">
        <v>1234</v>
      </c>
      <c r="C5" s="171"/>
      <c r="D5" s="1" t="s">
        <v>177</v>
      </c>
      <c r="E5" s="3" t="str">
        <f>_xlfn.XLOOKUP(Table13[[#This Row],[Category]],$K$4:$K$29,$J$4:$J$29," ")</f>
        <v xml:space="preserve">Teacher </v>
      </c>
      <c r="F5" s="2" t="s">
        <v>8</v>
      </c>
      <c r="G5" s="127">
        <v>-450</v>
      </c>
      <c r="H5" s="129">
        <f t="shared" si="0"/>
        <v>4450.2299999999996</v>
      </c>
      <c r="I5" s="1"/>
      <c r="J5" t="s">
        <v>44</v>
      </c>
      <c r="K5" t="s">
        <v>241</v>
      </c>
    </row>
    <row r="6" spans="1:11" x14ac:dyDescent="0.35">
      <c r="A6" s="91">
        <v>45520</v>
      </c>
      <c r="B6" s="117">
        <v>1235</v>
      </c>
      <c r="C6" s="171"/>
      <c r="D6" s="2" t="s">
        <v>253</v>
      </c>
      <c r="E6" s="3" t="str">
        <f>_xlfn.XLOOKUP(Table13[[#This Row],[Category]],$K$4:$K$29,$J$4:$J$29," ")</f>
        <v>PTO Operating</v>
      </c>
      <c r="F6" s="2" t="s">
        <v>20</v>
      </c>
      <c r="G6" s="127">
        <v>-231</v>
      </c>
      <c r="H6" s="129">
        <f t="shared" si="0"/>
        <v>4219.2299999999996</v>
      </c>
      <c r="I6" s="1"/>
      <c r="J6" t="s">
        <v>44</v>
      </c>
      <c r="K6" t="s">
        <v>242</v>
      </c>
    </row>
    <row r="7" spans="1:11" x14ac:dyDescent="0.35">
      <c r="A7" s="4">
        <v>45525</v>
      </c>
      <c r="B7" s="119">
        <v>1236</v>
      </c>
      <c r="D7" s="2" t="s">
        <v>180</v>
      </c>
      <c r="E7" s="3" t="str">
        <f>_xlfn.XLOOKUP(Table13[[#This Row],[Category]],$K$4:$K$29,$J$4:$J$29," ")</f>
        <v xml:space="preserve">Teacher </v>
      </c>
      <c r="F7" s="2" t="s">
        <v>7</v>
      </c>
      <c r="G7" s="128">
        <v>-100</v>
      </c>
      <c r="H7" s="129">
        <f t="shared" si="0"/>
        <v>4119.2299999999996</v>
      </c>
      <c r="I7" s="1"/>
      <c r="J7" t="s">
        <v>44</v>
      </c>
      <c r="K7" t="s">
        <v>159</v>
      </c>
    </row>
    <row r="8" spans="1:11" x14ac:dyDescent="0.35">
      <c r="A8" s="4">
        <v>45525</v>
      </c>
      <c r="B8" s="119">
        <v>1237</v>
      </c>
      <c r="D8" s="1" t="s">
        <v>181</v>
      </c>
      <c r="E8" s="3" t="str">
        <f>_xlfn.XLOOKUP(Table13[[#This Row],[Category]],$K$4:$K$29,$J$4:$J$29," ")</f>
        <v xml:space="preserve">Teacher </v>
      </c>
      <c r="F8" s="2" t="s">
        <v>7</v>
      </c>
      <c r="G8" s="128">
        <v>-100</v>
      </c>
      <c r="H8" s="129">
        <f>$H7+$G8</f>
        <v>4019.2299999999996</v>
      </c>
      <c r="I8" s="1"/>
      <c r="J8" t="s">
        <v>44</v>
      </c>
      <c r="K8" t="s">
        <v>35</v>
      </c>
    </row>
    <row r="9" spans="1:11" x14ac:dyDescent="0.35">
      <c r="A9" s="4">
        <v>45525</v>
      </c>
      <c r="B9" s="119">
        <v>1238</v>
      </c>
      <c r="D9" s="2" t="s">
        <v>254</v>
      </c>
      <c r="E9" s="3" t="str">
        <f>_xlfn.XLOOKUP(Table13[[#This Row],[Category]],$K$4:$K$29,$J$4:$J$29," ")</f>
        <v xml:space="preserve">Teacher </v>
      </c>
      <c r="F9" s="2" t="s">
        <v>7</v>
      </c>
      <c r="G9" s="128">
        <v>-100</v>
      </c>
      <c r="H9" s="129">
        <f t="shared" si="0"/>
        <v>3919.2299999999996</v>
      </c>
      <c r="I9" s="1"/>
      <c r="J9" s="3" t="s">
        <v>44</v>
      </c>
      <c r="K9" s="3" t="s">
        <v>195</v>
      </c>
    </row>
    <row r="10" spans="1:11" x14ac:dyDescent="0.35">
      <c r="A10" s="4">
        <v>45525</v>
      </c>
      <c r="B10" s="119">
        <v>1239</v>
      </c>
      <c r="D10" s="1" t="s">
        <v>255</v>
      </c>
      <c r="E10" s="3" t="str">
        <f>_xlfn.XLOOKUP(Table13[[#This Row],[Category]],$K$4:$K$29,$J$4:$J$29," ")</f>
        <v xml:space="preserve">Teacher </v>
      </c>
      <c r="F10" s="2" t="s">
        <v>7</v>
      </c>
      <c r="G10" s="128">
        <v>-91.96</v>
      </c>
      <c r="H10" s="129">
        <f t="shared" si="0"/>
        <v>3827.2699999999995</v>
      </c>
      <c r="I10" s="1"/>
      <c r="J10" s="3" t="s">
        <v>44</v>
      </c>
      <c r="K10" s="3" t="s">
        <v>229</v>
      </c>
    </row>
    <row r="11" spans="1:11" x14ac:dyDescent="0.35">
      <c r="A11" s="91">
        <v>45525</v>
      </c>
      <c r="B11" s="117"/>
      <c r="C11" s="171"/>
      <c r="D11" s="1" t="s">
        <v>183</v>
      </c>
      <c r="E11" s="3" t="str">
        <f>_xlfn.XLOOKUP(Table13[[#This Row],[Category]],$K$4:$K$29,$J$4:$J$29," ")</f>
        <v>PTO Operating</v>
      </c>
      <c r="F11" s="2" t="s">
        <v>197</v>
      </c>
      <c r="G11" s="127">
        <v>-40</v>
      </c>
      <c r="H11" s="129">
        <f t="shared" si="0"/>
        <v>3787.2699999999995</v>
      </c>
      <c r="I11" s="1"/>
      <c r="J11" t="s">
        <v>6</v>
      </c>
      <c r="K11" t="s">
        <v>10</v>
      </c>
    </row>
    <row r="12" spans="1:11" x14ac:dyDescent="0.35">
      <c r="A12" s="4">
        <v>45526</v>
      </c>
      <c r="B12" s="119">
        <v>1240</v>
      </c>
      <c r="D12" t="s">
        <v>256</v>
      </c>
      <c r="E12" s="3" t="str">
        <f>_xlfn.XLOOKUP(Table13[[#This Row],[Category]],$K$4:$K$29,$J$4:$J$29," ")</f>
        <v xml:space="preserve">Teacher </v>
      </c>
      <c r="F12" s="2" t="s">
        <v>7</v>
      </c>
      <c r="G12" s="128">
        <v>-100</v>
      </c>
      <c r="H12" s="129">
        <f t="shared" si="0"/>
        <v>3687.2699999999995</v>
      </c>
      <c r="I12" s="1"/>
      <c r="J12" t="s">
        <v>6</v>
      </c>
      <c r="K12" t="s">
        <v>176</v>
      </c>
    </row>
    <row r="13" spans="1:11" x14ac:dyDescent="0.35">
      <c r="A13" s="4">
        <v>45531</v>
      </c>
      <c r="B13" s="119">
        <v>1241</v>
      </c>
      <c r="D13" s="1" t="s">
        <v>178</v>
      </c>
      <c r="E13" s="3" t="str">
        <f>_xlfn.XLOOKUP(Table13[[#This Row],[Category]],$K$4:$K$29,$J$4:$J$29," ")</f>
        <v xml:space="preserve">Teacher </v>
      </c>
      <c r="F13" s="2" t="s">
        <v>8</v>
      </c>
      <c r="G13" s="128">
        <v>-123.45</v>
      </c>
      <c r="H13" s="129">
        <f t="shared" si="0"/>
        <v>3563.8199999999997</v>
      </c>
      <c r="I13" s="1"/>
      <c r="J13" t="s">
        <v>6</v>
      </c>
      <c r="K13" s="3" t="s">
        <v>237</v>
      </c>
    </row>
    <row r="14" spans="1:11" x14ac:dyDescent="0.35">
      <c r="A14" s="4">
        <v>45538</v>
      </c>
      <c r="B14" s="119">
        <v>1242</v>
      </c>
      <c r="D14" s="2" t="s">
        <v>182</v>
      </c>
      <c r="E14" s="3" t="str">
        <f>_xlfn.XLOOKUP(Table13[[#This Row],[Category]],$K$4:$K$29,$J$4:$J$29," ")</f>
        <v xml:space="preserve">Teacher </v>
      </c>
      <c r="F14" s="2" t="s">
        <v>7</v>
      </c>
      <c r="G14" s="128">
        <v>-100</v>
      </c>
      <c r="H14" s="129">
        <f t="shared" si="0"/>
        <v>3463.8199999999997</v>
      </c>
      <c r="I14" s="1"/>
      <c r="J14" t="s">
        <v>6</v>
      </c>
      <c r="K14" t="s">
        <v>20</v>
      </c>
    </row>
    <row r="15" spans="1:11" x14ac:dyDescent="0.35">
      <c r="A15" s="91">
        <v>45541</v>
      </c>
      <c r="B15" s="117">
        <v>1243</v>
      </c>
      <c r="C15" s="171"/>
      <c r="D15" s="1" t="s">
        <v>185</v>
      </c>
      <c r="E15" s="3" t="str">
        <f>_xlfn.XLOOKUP(Table13[[#This Row],[Category]],$K$4:$K$29,$J$4:$J$29," ")</f>
        <v xml:space="preserve">Teacher </v>
      </c>
      <c r="F15" s="2" t="s">
        <v>7</v>
      </c>
      <c r="G15" s="127">
        <v>-100</v>
      </c>
      <c r="H15" s="129">
        <f t="shared" si="0"/>
        <v>3363.8199999999997</v>
      </c>
      <c r="I15" s="1"/>
      <c r="J15" t="s">
        <v>6</v>
      </c>
      <c r="K15" t="s">
        <v>197</v>
      </c>
    </row>
    <row r="16" spans="1:11" x14ac:dyDescent="0.35">
      <c r="A16" s="91">
        <v>45572</v>
      </c>
      <c r="B16" s="117">
        <v>1244</v>
      </c>
      <c r="C16" s="171"/>
      <c r="D16" s="2" t="s">
        <v>271</v>
      </c>
      <c r="E16" s="3" t="str">
        <f>_xlfn.XLOOKUP(Table13[[#This Row],[Category]],$K$4:$K$29,$J$4:$J$29," ")</f>
        <v xml:space="preserve">Teacher </v>
      </c>
      <c r="F16" s="2" t="s">
        <v>7</v>
      </c>
      <c r="G16" s="127">
        <v>-100</v>
      </c>
      <c r="H16" s="129">
        <f t="shared" si="0"/>
        <v>3263.8199999999997</v>
      </c>
      <c r="I16" s="1"/>
      <c r="J16" t="s">
        <v>243</v>
      </c>
      <c r="K16" s="3" t="s">
        <v>149</v>
      </c>
    </row>
    <row r="17" spans="1:11" x14ac:dyDescent="0.35">
      <c r="A17" s="91">
        <v>45572</v>
      </c>
      <c r="B17" s="117">
        <v>1245</v>
      </c>
      <c r="C17" s="171"/>
      <c r="D17" s="2" t="s">
        <v>272</v>
      </c>
      <c r="E17" s="3" t="str">
        <f>_xlfn.XLOOKUP(Table13[[#This Row],[Category]],$K$4:$K$29,$J$4:$J$29," ")</f>
        <v xml:space="preserve">Teacher </v>
      </c>
      <c r="F17" s="2" t="s">
        <v>7</v>
      </c>
      <c r="G17" s="127">
        <v>-100</v>
      </c>
      <c r="H17" s="129">
        <f t="shared" si="0"/>
        <v>3163.8199999999997</v>
      </c>
      <c r="I17" s="1"/>
      <c r="J17" t="s">
        <v>243</v>
      </c>
      <c r="K17" s="3" t="s">
        <v>150</v>
      </c>
    </row>
    <row r="18" spans="1:11" x14ac:dyDescent="0.35">
      <c r="A18" s="91">
        <v>45576</v>
      </c>
      <c r="B18" s="117"/>
      <c r="C18" s="171"/>
      <c r="D18" s="2" t="s">
        <v>257</v>
      </c>
      <c r="E18" s="3" t="str">
        <f>_xlfn.XLOOKUP(Table13[[#This Row],[Category]],$K$4:$K$29,$J$4:$J$29," ")</f>
        <v>Income</v>
      </c>
      <c r="F18" s="2" t="s">
        <v>195</v>
      </c>
      <c r="G18" s="127">
        <v>250</v>
      </c>
      <c r="H18" s="129">
        <f t="shared" si="0"/>
        <v>3413.8199999999997</v>
      </c>
      <c r="I18" s="1"/>
      <c r="J18" t="s">
        <v>243</v>
      </c>
      <c r="K18" t="s">
        <v>239</v>
      </c>
    </row>
    <row r="19" spans="1:11" x14ac:dyDescent="0.35">
      <c r="A19" s="91">
        <v>45580</v>
      </c>
      <c r="B19" s="117">
        <v>1246</v>
      </c>
      <c r="C19" s="171"/>
      <c r="D19" s="1" t="s">
        <v>193</v>
      </c>
      <c r="E19" s="3" t="str">
        <f>_xlfn.XLOOKUP(Table13[[#This Row],[Category]],$K$4:$K$29,$J$4:$J$29," ")</f>
        <v xml:space="preserve">Teacher </v>
      </c>
      <c r="F19" s="2" t="s">
        <v>7</v>
      </c>
      <c r="G19" s="127">
        <v>-100</v>
      </c>
      <c r="H19" s="129">
        <f t="shared" si="0"/>
        <v>3313.8199999999997</v>
      </c>
      <c r="I19" s="1"/>
      <c r="J19" s="3" t="s">
        <v>66</v>
      </c>
      <c r="K19" t="s">
        <v>8</v>
      </c>
    </row>
    <row r="20" spans="1:11" x14ac:dyDescent="0.35">
      <c r="A20" s="4">
        <v>45586</v>
      </c>
      <c r="B20" s="119">
        <v>1247</v>
      </c>
      <c r="D20" s="1" t="s">
        <v>179</v>
      </c>
      <c r="E20" s="3" t="str">
        <f>_xlfn.XLOOKUP(Table13[[#This Row],[Category]],$K$4:$K$29,$J$4:$J$29," ")</f>
        <v xml:space="preserve">Teacher </v>
      </c>
      <c r="F20" s="2" t="s">
        <v>7</v>
      </c>
      <c r="G20" s="128">
        <v>-85.23</v>
      </c>
      <c r="H20" s="129">
        <f t="shared" si="0"/>
        <v>3228.5899999999997</v>
      </c>
      <c r="J20" s="3" t="s">
        <v>66</v>
      </c>
      <c r="K20" t="s">
        <v>7</v>
      </c>
    </row>
    <row r="21" spans="1:11" x14ac:dyDescent="0.35">
      <c r="A21" s="91">
        <v>45587</v>
      </c>
      <c r="B21" s="117">
        <v>1248</v>
      </c>
      <c r="C21" s="171"/>
      <c r="D21" s="1" t="s">
        <v>258</v>
      </c>
      <c r="E21" s="3" t="str">
        <f>_xlfn.XLOOKUP(Table13[[#This Row],[Category]],$K$4:$K$29,$J$4:$J$29," ")</f>
        <v xml:space="preserve">Teacher </v>
      </c>
      <c r="F21" s="2" t="s">
        <v>7</v>
      </c>
      <c r="G21" s="127">
        <v>-18.670000000000002</v>
      </c>
      <c r="H21" s="129">
        <f t="shared" si="0"/>
        <v>3209.9199999999996</v>
      </c>
      <c r="J21" s="3" t="s">
        <v>66</v>
      </c>
      <c r="K21" t="s">
        <v>249</v>
      </c>
    </row>
    <row r="22" spans="1:11" x14ac:dyDescent="0.35">
      <c r="A22" s="91">
        <v>45595</v>
      </c>
      <c r="B22" s="117">
        <v>1250</v>
      </c>
      <c r="C22" s="171"/>
      <c r="D22" s="2" t="s">
        <v>259</v>
      </c>
      <c r="E22" s="3" t="str">
        <f>_xlfn.XLOOKUP(Table13[[#This Row],[Category]],$K$4:$K$29,$J$4:$J$29," ")</f>
        <v xml:space="preserve">Teacher </v>
      </c>
      <c r="F22" s="2" t="s">
        <v>8</v>
      </c>
      <c r="G22" s="127">
        <v>-321.01</v>
      </c>
      <c r="H22" s="129">
        <f t="shared" si="0"/>
        <v>2888.91</v>
      </c>
      <c r="J22" s="3" t="s">
        <v>66</v>
      </c>
      <c r="K22" t="s">
        <v>244</v>
      </c>
    </row>
    <row r="23" spans="1:11" x14ac:dyDescent="0.35">
      <c r="A23" s="91">
        <v>45603</v>
      </c>
      <c r="B23" s="117"/>
      <c r="C23" s="171"/>
      <c r="D23" s="2" t="s">
        <v>260</v>
      </c>
      <c r="E23" s="3" t="str">
        <f>_xlfn.XLOOKUP(Table13[[#This Row],[Category]],$K$4:$K$29,$J$4:$J$29," ")</f>
        <v>Income</v>
      </c>
      <c r="F23" s="2" t="s">
        <v>159</v>
      </c>
      <c r="G23" s="127">
        <v>1567.89</v>
      </c>
      <c r="H23" s="129">
        <f t="shared" si="0"/>
        <v>4456.8</v>
      </c>
      <c r="J23" t="s">
        <v>51</v>
      </c>
      <c r="K23" t="s">
        <v>39</v>
      </c>
    </row>
    <row r="24" spans="1:11" x14ac:dyDescent="0.35">
      <c r="A24" s="91">
        <v>45603</v>
      </c>
      <c r="B24" s="117"/>
      <c r="C24" s="171"/>
      <c r="D24" s="2" t="s">
        <v>240</v>
      </c>
      <c r="E24" s="3" t="str">
        <f>_xlfn.XLOOKUP(Table13[[#This Row],[Category]],$K$4:$K$29,$J$4:$J$29," ")</f>
        <v>Income</v>
      </c>
      <c r="F24" s="2" t="s">
        <v>240</v>
      </c>
      <c r="G24" s="127">
        <v>12345</v>
      </c>
      <c r="H24" s="129">
        <f t="shared" si="0"/>
        <v>16801.8</v>
      </c>
      <c r="J24" t="s">
        <v>51</v>
      </c>
      <c r="K24" t="s">
        <v>37</v>
      </c>
    </row>
    <row r="25" spans="1:11" x14ac:dyDescent="0.35">
      <c r="A25" s="91">
        <v>45603</v>
      </c>
      <c r="B25" s="117"/>
      <c r="C25" s="171"/>
      <c r="D25" s="2" t="s">
        <v>228</v>
      </c>
      <c r="E25" s="3" t="str">
        <f>_xlfn.XLOOKUP(Table13[[#This Row],[Category]],$K$4:$K$29,$J$4:$J$29," ")</f>
        <v>Income</v>
      </c>
      <c r="F25" s="2" t="s">
        <v>35</v>
      </c>
      <c r="G25" s="127">
        <v>32.299999999999997</v>
      </c>
      <c r="H25" s="129">
        <f t="shared" si="0"/>
        <v>16834.099999999999</v>
      </c>
      <c r="J25" s="3" t="s">
        <v>51</v>
      </c>
      <c r="K25" s="3" t="s">
        <v>39</v>
      </c>
    </row>
    <row r="26" spans="1:11" x14ac:dyDescent="0.35">
      <c r="A26" s="91">
        <v>45603</v>
      </c>
      <c r="B26" s="117"/>
      <c r="C26" s="171"/>
      <c r="D26" s="2" t="s">
        <v>261</v>
      </c>
      <c r="E26" s="3" t="str">
        <f>_xlfn.XLOOKUP(Table13[[#This Row],[Category]],$K$4:$K$29,$J$4:$J$29," ")</f>
        <v>Income</v>
      </c>
      <c r="F26" s="2" t="s">
        <v>35</v>
      </c>
      <c r="G26" s="127">
        <v>500</v>
      </c>
      <c r="H26" s="129">
        <f t="shared" si="0"/>
        <v>17334.099999999999</v>
      </c>
      <c r="J26" t="s">
        <v>46</v>
      </c>
      <c r="K26" t="s">
        <v>245</v>
      </c>
    </row>
    <row r="27" spans="1:11" x14ac:dyDescent="0.35">
      <c r="A27" s="91">
        <v>45604</v>
      </c>
      <c r="B27" s="117">
        <v>1251</v>
      </c>
      <c r="C27" s="171"/>
      <c r="D27" s="2" t="s">
        <v>262</v>
      </c>
      <c r="E27" s="3" t="str">
        <f>_xlfn.XLOOKUP(Table13[[#This Row],[Category]],$K$4:$K$29,$J$4:$J$29," ")</f>
        <v xml:space="preserve">Teacher </v>
      </c>
      <c r="F27" s="2" t="s">
        <v>7</v>
      </c>
      <c r="G27" s="127">
        <v>-100</v>
      </c>
      <c r="H27" s="129">
        <f t="shared" si="0"/>
        <v>17234.099999999999</v>
      </c>
      <c r="J27" t="s">
        <v>46</v>
      </c>
      <c r="K27" t="s">
        <v>246</v>
      </c>
    </row>
    <row r="28" spans="1:11" x14ac:dyDescent="0.35">
      <c r="A28" s="91">
        <v>45608</v>
      </c>
      <c r="B28" s="117">
        <v>1252</v>
      </c>
      <c r="C28" s="171"/>
      <c r="D28" s="1" t="s">
        <v>196</v>
      </c>
      <c r="E28" s="3" t="str">
        <f>_xlfn.XLOOKUP(Table13[[#This Row],[Category]],$K$4:$K$29,$J$4:$J$29," ")</f>
        <v xml:space="preserve">Teacher </v>
      </c>
      <c r="F28" s="2" t="s">
        <v>8</v>
      </c>
      <c r="G28" s="127">
        <v>-189.01</v>
      </c>
      <c r="H28" s="129">
        <f t="shared" si="0"/>
        <v>17045.09</v>
      </c>
      <c r="J28" t="s">
        <v>46</v>
      </c>
      <c r="K28" s="3" t="s">
        <v>247</v>
      </c>
    </row>
    <row r="29" spans="1:11" x14ac:dyDescent="0.35">
      <c r="A29" s="91">
        <v>45609</v>
      </c>
      <c r="B29" s="117"/>
      <c r="C29" s="171"/>
      <c r="D29" s="1" t="s">
        <v>263</v>
      </c>
      <c r="E29" s="3" t="str">
        <f>_xlfn.XLOOKUP(Table13[[#This Row],[Category]],$K$4:$K$29,$J$4:$J$29," ")</f>
        <v>Income</v>
      </c>
      <c r="F29" s="2" t="s">
        <v>195</v>
      </c>
      <c r="G29" s="127">
        <v>3124</v>
      </c>
      <c r="H29" s="129">
        <f t="shared" si="0"/>
        <v>20169.09</v>
      </c>
      <c r="J29" t="s">
        <v>46</v>
      </c>
      <c r="K29" t="s">
        <v>248</v>
      </c>
    </row>
    <row r="30" spans="1:11" x14ac:dyDescent="0.35">
      <c r="A30" s="91">
        <v>45610</v>
      </c>
      <c r="B30" s="117"/>
      <c r="C30" s="171"/>
      <c r="D30" s="1" t="s">
        <v>264</v>
      </c>
      <c r="E30" s="3" t="str">
        <f>_xlfn.XLOOKUP(Table13[[#This Row],[Category]],$K$4:$K$29,$J$4:$J$29," ")</f>
        <v>Income</v>
      </c>
      <c r="F30" s="2" t="s">
        <v>242</v>
      </c>
      <c r="G30" s="127">
        <v>100</v>
      </c>
      <c r="H30" s="129">
        <f t="shared" si="0"/>
        <v>20269.09</v>
      </c>
    </row>
    <row r="31" spans="1:11" x14ac:dyDescent="0.35">
      <c r="A31" s="91">
        <v>45614</v>
      </c>
      <c r="B31" s="117">
        <v>1254</v>
      </c>
      <c r="C31" s="173"/>
      <c r="D31" s="1" t="s">
        <v>265</v>
      </c>
      <c r="E31" s="3" t="str">
        <f>_xlfn.XLOOKUP(Table13[[#This Row],[Category]],$K$4:$K$29,$J$4:$J$29," ")</f>
        <v>District</v>
      </c>
      <c r="F31" s="2" t="s">
        <v>248</v>
      </c>
      <c r="G31" s="127">
        <v>-123.1</v>
      </c>
      <c r="H31" s="129">
        <f t="shared" si="0"/>
        <v>20145.990000000002</v>
      </c>
    </row>
    <row r="32" spans="1:11" x14ac:dyDescent="0.35">
      <c r="A32" s="91">
        <v>45614</v>
      </c>
      <c r="B32" s="117"/>
      <c r="C32" s="173"/>
      <c r="D32" s="1" t="s">
        <v>266</v>
      </c>
      <c r="E32" s="3" t="str">
        <f>_xlfn.XLOOKUP(Table13[[#This Row],[Category]],$K$4:$K$29,$J$4:$J$29," ")</f>
        <v>PTO Operating</v>
      </c>
      <c r="F32" s="2" t="s">
        <v>176</v>
      </c>
      <c r="G32" s="127">
        <v>-97.63</v>
      </c>
      <c r="H32" s="129">
        <f t="shared" si="0"/>
        <v>20048.36</v>
      </c>
    </row>
    <row r="33" spans="1:10" x14ac:dyDescent="0.35">
      <c r="A33" s="4">
        <v>45614</v>
      </c>
      <c r="D33" t="s">
        <v>237</v>
      </c>
      <c r="E33" s="3" t="str">
        <f>_xlfn.XLOOKUP(Table13[[#This Row],[Category]],$K$4:$K$29,$J$4:$J$29," ")</f>
        <v>PTO Operating</v>
      </c>
      <c r="F33" s="2" t="s">
        <v>237</v>
      </c>
      <c r="G33" s="127">
        <v>-180</v>
      </c>
      <c r="H33" s="129">
        <f t="shared" si="0"/>
        <v>19868.36</v>
      </c>
    </row>
    <row r="34" spans="1:10" x14ac:dyDescent="0.35">
      <c r="A34" s="4">
        <v>45618</v>
      </c>
      <c r="D34" s="3" t="s">
        <v>267</v>
      </c>
      <c r="E34" s="3" t="str">
        <f>_xlfn.XLOOKUP(Table13[[#This Row],[Category]],$K$4:$K$29,$J$4:$J$29," ")</f>
        <v>Income</v>
      </c>
      <c r="F34" s="2" t="s">
        <v>229</v>
      </c>
      <c r="G34" s="129">
        <v>500</v>
      </c>
      <c r="H34" s="129">
        <f t="shared" si="0"/>
        <v>20368.36</v>
      </c>
      <c r="J34" s="3" t="s">
        <v>192</v>
      </c>
    </row>
    <row r="35" spans="1:10" x14ac:dyDescent="0.35">
      <c r="A35" s="91">
        <v>45621</v>
      </c>
      <c r="B35" s="117"/>
      <c r="C35" s="171"/>
      <c r="D35" s="1" t="s">
        <v>263</v>
      </c>
      <c r="E35" s="3" t="str">
        <f>_xlfn.XLOOKUP(Table13[[#This Row],[Category]],$K$4:$K$29,$J$4:$J$29," ")</f>
        <v>Income</v>
      </c>
      <c r="F35" s="2" t="s">
        <v>195</v>
      </c>
      <c r="G35" s="127">
        <v>1000</v>
      </c>
      <c r="H35" s="129">
        <f t="shared" si="0"/>
        <v>21368.36</v>
      </c>
      <c r="J35">
        <f>COUNTIF(F:F,K20)</f>
        <v>15</v>
      </c>
    </row>
    <row r="36" spans="1:10" x14ac:dyDescent="0.35">
      <c r="A36" s="4">
        <v>45621</v>
      </c>
      <c r="D36" t="s">
        <v>268</v>
      </c>
      <c r="E36" s="3" t="str">
        <f>_xlfn.XLOOKUP(Table13[[#This Row],[Category]],$K$4:$K$29,$J$4:$J$29," ")</f>
        <v>Income</v>
      </c>
      <c r="F36" s="2" t="s">
        <v>229</v>
      </c>
      <c r="G36" s="129">
        <v>750</v>
      </c>
      <c r="H36" s="129">
        <f t="shared" si="0"/>
        <v>22118.36</v>
      </c>
    </row>
    <row r="37" spans="1:10" x14ac:dyDescent="0.35">
      <c r="A37" s="91">
        <v>45623</v>
      </c>
      <c r="B37" s="119">
        <v>1258</v>
      </c>
      <c r="D37" t="s">
        <v>270</v>
      </c>
      <c r="E37" t="str">
        <f>_xlfn.XLOOKUP(Table13[[#This Row],[Category]],$K$4:$K$29,$J$4:$J$29," ")</f>
        <v>School Initiatives</v>
      </c>
      <c r="F37" s="1" t="s">
        <v>239</v>
      </c>
      <c r="G37" s="127">
        <v>-750</v>
      </c>
      <c r="H37" s="129">
        <f t="shared" si="0"/>
        <v>21368.36</v>
      </c>
      <c r="J37" s="3"/>
    </row>
    <row r="38" spans="1:10" x14ac:dyDescent="0.35">
      <c r="A38" s="4">
        <v>45623</v>
      </c>
      <c r="B38" s="119">
        <v>1259</v>
      </c>
      <c r="D38" t="s">
        <v>269</v>
      </c>
      <c r="E38" t="str">
        <f>_xlfn.XLOOKUP(Table13[[#This Row],[Category]],$K$4:$K$29,$J$4:$J$29," ")</f>
        <v>School Initiatives</v>
      </c>
      <c r="F38" s="1" t="s">
        <v>239</v>
      </c>
      <c r="G38" s="129">
        <v>-500</v>
      </c>
      <c r="H38" s="129">
        <f t="shared" si="0"/>
        <v>20868.36</v>
      </c>
    </row>
    <row r="39" spans="1:10" x14ac:dyDescent="0.35">
      <c r="A39" s="91">
        <v>45628</v>
      </c>
      <c r="B39" s="117">
        <v>1260</v>
      </c>
      <c r="C39" s="171"/>
      <c r="D39" s="1" t="s">
        <v>189</v>
      </c>
      <c r="E39" s="3" t="str">
        <f>_xlfn.XLOOKUP(Table13[[#This Row],[Category]],$K$4:$K$29,$J$4:$J$29," ")</f>
        <v xml:space="preserve">Teacher </v>
      </c>
      <c r="F39" s="2" t="s">
        <v>7</v>
      </c>
      <c r="G39" s="127">
        <v>-100</v>
      </c>
      <c r="H39" s="129">
        <f t="shared" si="0"/>
        <v>20768.36</v>
      </c>
    </row>
    <row r="40" spans="1:10" x14ac:dyDescent="0.35">
      <c r="A40" s="91">
        <v>45629</v>
      </c>
      <c r="B40" s="117">
        <v>1261</v>
      </c>
      <c r="C40" s="171"/>
      <c r="D40" s="1" t="s">
        <v>10</v>
      </c>
      <c r="E40" s="3" t="str">
        <f>_xlfn.XLOOKUP(Table13[[#This Row],[Category]],$K$4:$K$29,$J$4:$J$29," ")</f>
        <v>PTO Operating</v>
      </c>
      <c r="F40" s="2" t="s">
        <v>10</v>
      </c>
      <c r="G40" s="127">
        <v>-850</v>
      </c>
      <c r="H40" s="129">
        <f t="shared" si="0"/>
        <v>19918.36</v>
      </c>
      <c r="I40" s="3"/>
    </row>
    <row r="41" spans="1:10" x14ac:dyDescent="0.35">
      <c r="A41" s="91">
        <v>45631</v>
      </c>
      <c r="B41" s="119">
        <v>1262</v>
      </c>
      <c r="D41" s="1" t="s">
        <v>251</v>
      </c>
      <c r="E41" t="str">
        <f>_xlfn.XLOOKUP(Table13[[#This Row],[Category]],$K$4:$K$29,$J$4:$J$29," ")</f>
        <v xml:space="preserve">Teacher </v>
      </c>
      <c r="F41" s="1" t="s">
        <v>7</v>
      </c>
      <c r="G41" s="127">
        <v>-100</v>
      </c>
      <c r="H41" s="129">
        <f t="shared" si="0"/>
        <v>19818.36</v>
      </c>
    </row>
    <row r="42" spans="1:10" x14ac:dyDescent="0.35">
      <c r="A42" s="91">
        <v>45631</v>
      </c>
      <c r="B42" s="119">
        <v>1263</v>
      </c>
      <c r="D42" s="1" t="s">
        <v>252</v>
      </c>
      <c r="E42" t="str">
        <f>_xlfn.XLOOKUP(Table13[[#This Row],[Category]],$K$4:$K$29,$J$4:$J$29," ")</f>
        <v xml:space="preserve">Teacher </v>
      </c>
      <c r="F42" s="1" t="s">
        <v>8</v>
      </c>
      <c r="G42" s="127">
        <v>-35.67</v>
      </c>
      <c r="H42" s="129">
        <f t="shared" si="0"/>
        <v>19782.690000000002</v>
      </c>
      <c r="I42" s="1"/>
    </row>
    <row r="43" spans="1:10" x14ac:dyDescent="0.35">
      <c r="E43" t="str">
        <f>_xlfn.XLOOKUP(Table13[[#This Row],[Category]],$K$4:$K$29,$J$4:$J$29," ")</f>
        <v xml:space="preserve"> </v>
      </c>
      <c r="G43" s="129"/>
      <c r="H43" s="129">
        <f t="shared" si="0"/>
        <v>19782.690000000002</v>
      </c>
      <c r="I43" s="1"/>
    </row>
    <row r="44" spans="1:10" x14ac:dyDescent="0.35">
      <c r="D44" s="3"/>
      <c r="E44" t="str">
        <f>_xlfn.XLOOKUP(Table13[[#This Row],[Category]],$K$4:$K$29,$J$4:$J$29," ")</f>
        <v xml:space="preserve"> </v>
      </c>
      <c r="F44" s="2"/>
      <c r="G44" s="129"/>
      <c r="H44" s="129">
        <f t="shared" si="0"/>
        <v>19782.690000000002</v>
      </c>
      <c r="I44" s="1"/>
    </row>
    <row r="45" spans="1:10" x14ac:dyDescent="0.35">
      <c r="D45" s="3"/>
      <c r="E45" t="str">
        <f>_xlfn.XLOOKUP(Table13[[#This Row],[Category]],$K$4:$K$29,$J$4:$J$29," ")</f>
        <v xml:space="preserve"> </v>
      </c>
      <c r="F45" s="2"/>
      <c r="G45" s="129"/>
      <c r="H45" s="129">
        <f t="shared" si="0"/>
        <v>19782.690000000002</v>
      </c>
      <c r="I45" s="1"/>
    </row>
    <row r="46" spans="1:10" x14ac:dyDescent="0.35">
      <c r="D46" s="3"/>
      <c r="E46" t="str">
        <f>_xlfn.XLOOKUP(Table13[[#This Row],[Category]],$K$4:$K$29,$J$4:$J$29," ")</f>
        <v xml:space="preserve"> </v>
      </c>
      <c r="F46" s="2"/>
      <c r="G46" s="129"/>
      <c r="H46" s="129">
        <f t="shared" si="0"/>
        <v>19782.690000000002</v>
      </c>
    </row>
    <row r="47" spans="1:10" x14ac:dyDescent="0.35">
      <c r="E47" s="3"/>
      <c r="F47" s="2"/>
      <c r="G47" s="129"/>
      <c r="H47" s="127"/>
    </row>
    <row r="48" spans="1:10" x14ac:dyDescent="0.35">
      <c r="E48" s="3"/>
      <c r="F48" s="2"/>
      <c r="G48" s="129"/>
      <c r="H48" s="127"/>
    </row>
    <row r="49" spans="4:10" x14ac:dyDescent="0.35">
      <c r="D49" s="3"/>
      <c r="E49" s="3"/>
      <c r="F49" s="2"/>
      <c r="G49" s="129"/>
      <c r="H49" s="127"/>
    </row>
    <row r="50" spans="4:10" x14ac:dyDescent="0.35">
      <c r="E50" s="3"/>
      <c r="F50" s="2"/>
      <c r="G50" s="129"/>
      <c r="H50" s="127"/>
      <c r="J50" s="5"/>
    </row>
    <row r="51" spans="4:10" x14ac:dyDescent="0.35">
      <c r="E51" s="3"/>
      <c r="F51" s="2"/>
      <c r="G51" s="129"/>
      <c r="H51" s="127"/>
    </row>
    <row r="52" spans="4:10" x14ac:dyDescent="0.35">
      <c r="E52" s="3"/>
      <c r="F52" s="2"/>
      <c r="G52" s="129"/>
      <c r="H52" s="127"/>
    </row>
    <row r="53" spans="4:10" x14ac:dyDescent="0.35">
      <c r="E53" s="3"/>
      <c r="F53" s="2"/>
      <c r="G53" s="129"/>
      <c r="H53" s="127"/>
    </row>
    <row r="54" spans="4:10" x14ac:dyDescent="0.35">
      <c r="E54" s="3"/>
      <c r="F54" s="2"/>
      <c r="G54" s="129"/>
      <c r="H54" s="127"/>
    </row>
    <row r="55" spans="4:10" x14ac:dyDescent="0.35">
      <c r="E55" s="3"/>
      <c r="F55" s="2"/>
      <c r="G55" s="129"/>
      <c r="H55" s="127"/>
    </row>
    <row r="56" spans="4:10" x14ac:dyDescent="0.35">
      <c r="E56" s="3"/>
      <c r="F56" s="2"/>
      <c r="G56" s="129"/>
      <c r="H56" s="127"/>
      <c r="I56" s="5"/>
    </row>
    <row r="57" spans="4:10" x14ac:dyDescent="0.35">
      <c r="E57" s="3"/>
      <c r="F57" s="2"/>
      <c r="G57" s="129"/>
      <c r="H57" s="127"/>
      <c r="I57" s="5"/>
    </row>
    <row r="58" spans="4:10" x14ac:dyDescent="0.35">
      <c r="E58" s="3"/>
      <c r="F58" s="2"/>
      <c r="G58" s="129"/>
      <c r="H58" s="127"/>
    </row>
    <row r="59" spans="4:10" x14ac:dyDescent="0.35">
      <c r="E59" s="3"/>
      <c r="F59" s="2"/>
      <c r="G59" s="129"/>
      <c r="H59" s="127"/>
    </row>
    <row r="60" spans="4:10" x14ac:dyDescent="0.35">
      <c r="E60" s="3"/>
      <c r="F60" s="2"/>
      <c r="G60" s="129"/>
      <c r="H60" s="127"/>
    </row>
    <row r="61" spans="4:10" x14ac:dyDescent="0.35">
      <c r="E61" s="3"/>
      <c r="F61" s="2"/>
      <c r="G61" s="129"/>
      <c r="H61" s="127"/>
    </row>
    <row r="62" spans="4:10" x14ac:dyDescent="0.35">
      <c r="E62" s="3"/>
      <c r="F62" s="2"/>
      <c r="G62" s="129"/>
      <c r="H62" s="127"/>
    </row>
    <row r="63" spans="4:10" x14ac:dyDescent="0.35">
      <c r="E63" s="3"/>
      <c r="F63" s="2"/>
      <c r="G63" s="129"/>
      <c r="H63" s="127"/>
    </row>
    <row r="64" spans="4:10" x14ac:dyDescent="0.35">
      <c r="E64" s="3"/>
      <c r="F64" s="2"/>
      <c r="G64" s="129"/>
      <c r="H64" s="127"/>
    </row>
    <row r="65" spans="5:8" x14ac:dyDescent="0.35">
      <c r="E65" s="3"/>
      <c r="F65" s="2"/>
      <c r="G65" s="129"/>
      <c r="H65" s="127"/>
    </row>
    <row r="66" spans="5:8" x14ac:dyDescent="0.35">
      <c r="E66" s="3"/>
      <c r="F66" s="2"/>
      <c r="G66" s="129"/>
      <c r="H66" s="127"/>
    </row>
    <row r="67" spans="5:8" x14ac:dyDescent="0.35">
      <c r="E67" s="3"/>
      <c r="F67" s="2"/>
      <c r="G67" s="129"/>
      <c r="H67" s="127"/>
    </row>
    <row r="68" spans="5:8" x14ac:dyDescent="0.35">
      <c r="E68" s="3"/>
      <c r="F68" s="2"/>
      <c r="G68" s="129"/>
      <c r="H68" s="127"/>
    </row>
    <row r="69" spans="5:8" x14ac:dyDescent="0.35">
      <c r="E69" s="3"/>
      <c r="F69" s="2"/>
      <c r="G69" s="129"/>
      <c r="H69" s="127"/>
    </row>
    <row r="70" spans="5:8" x14ac:dyDescent="0.35">
      <c r="E70" s="3"/>
      <c r="F70" s="2"/>
      <c r="G70" s="129"/>
      <c r="H70" s="127"/>
    </row>
    <row r="71" spans="5:8" x14ac:dyDescent="0.35">
      <c r="E71" s="3"/>
      <c r="F71" s="2"/>
      <c r="G71" s="129"/>
      <c r="H71" s="127"/>
    </row>
    <row r="72" spans="5:8" x14ac:dyDescent="0.35">
      <c r="E72" s="3"/>
      <c r="F72" s="2"/>
      <c r="G72" s="129"/>
      <c r="H72" s="127"/>
    </row>
    <row r="73" spans="5:8" x14ac:dyDescent="0.35">
      <c r="E73" s="3"/>
      <c r="F73" s="2"/>
      <c r="G73" s="129"/>
      <c r="H73" s="127"/>
    </row>
    <row r="74" spans="5:8" x14ac:dyDescent="0.35">
      <c r="E74" s="3"/>
      <c r="F74" s="2"/>
      <c r="G74" s="129"/>
      <c r="H74" s="127"/>
    </row>
    <row r="75" spans="5:8" x14ac:dyDescent="0.35">
      <c r="E75" s="3"/>
      <c r="F75" s="2"/>
      <c r="G75" s="129"/>
      <c r="H75" s="127"/>
    </row>
    <row r="76" spans="5:8" x14ac:dyDescent="0.35">
      <c r="E76" s="3"/>
      <c r="F76" s="2"/>
      <c r="G76" s="129"/>
      <c r="H76" s="127"/>
    </row>
    <row r="77" spans="5:8" x14ac:dyDescent="0.35">
      <c r="E77" s="3"/>
      <c r="F77" s="2"/>
      <c r="G77" s="129"/>
      <c r="H77" s="127"/>
    </row>
    <row r="78" spans="5:8" x14ac:dyDescent="0.35">
      <c r="E78" s="3"/>
      <c r="F78" s="2"/>
      <c r="G78" s="129"/>
      <c r="H78" s="127"/>
    </row>
    <row r="79" spans="5:8" x14ac:dyDescent="0.35">
      <c r="E79" s="3"/>
      <c r="F79" s="2"/>
      <c r="G79" s="129"/>
      <c r="H79" s="127"/>
    </row>
    <row r="80" spans="5:8" x14ac:dyDescent="0.35">
      <c r="E80" s="3"/>
      <c r="F80" s="2"/>
      <c r="G80" s="129"/>
      <c r="H80" s="127"/>
    </row>
    <row r="81" spans="5:8" x14ac:dyDescent="0.35">
      <c r="E81" s="3"/>
      <c r="F81" s="2"/>
      <c r="G81" s="129"/>
      <c r="H81" s="127"/>
    </row>
    <row r="82" spans="5:8" x14ac:dyDescent="0.35">
      <c r="E82" s="3"/>
      <c r="F82" s="2"/>
      <c r="G82" s="129"/>
      <c r="H82" s="127"/>
    </row>
    <row r="83" spans="5:8" x14ac:dyDescent="0.35">
      <c r="E83" s="3"/>
      <c r="F83" s="2"/>
      <c r="G83" s="129"/>
      <c r="H83" s="127"/>
    </row>
    <row r="84" spans="5:8" x14ac:dyDescent="0.35">
      <c r="E84" s="3"/>
      <c r="F84" s="2"/>
      <c r="G84" s="129"/>
      <c r="H84" s="127"/>
    </row>
    <row r="85" spans="5:8" x14ac:dyDescent="0.35">
      <c r="E85" s="3"/>
      <c r="F85" s="2"/>
      <c r="G85" s="129"/>
      <c r="H85" s="127"/>
    </row>
    <row r="86" spans="5:8" x14ac:dyDescent="0.35">
      <c r="E86" s="3"/>
      <c r="F86" s="2"/>
      <c r="G86" s="129"/>
      <c r="H86" s="127"/>
    </row>
    <row r="87" spans="5:8" x14ac:dyDescent="0.35">
      <c r="E87" s="3"/>
      <c r="F87" s="2"/>
      <c r="G87" s="129"/>
      <c r="H87" s="127"/>
    </row>
    <row r="88" spans="5:8" x14ac:dyDescent="0.35">
      <c r="E88" s="3"/>
      <c r="F88" s="2"/>
      <c r="G88" s="129"/>
      <c r="H88" s="127"/>
    </row>
    <row r="89" spans="5:8" x14ac:dyDescent="0.35">
      <c r="E89" s="3"/>
      <c r="F89" s="2"/>
      <c r="G89" s="129"/>
      <c r="H89" s="127"/>
    </row>
    <row r="90" spans="5:8" x14ac:dyDescent="0.35">
      <c r="E90" s="3"/>
      <c r="F90" s="2"/>
      <c r="G90" s="129"/>
      <c r="H90" s="127"/>
    </row>
    <row r="91" spans="5:8" x14ac:dyDescent="0.35">
      <c r="E91" s="3"/>
      <c r="F91" s="2"/>
      <c r="G91" s="129"/>
      <c r="H91" s="127"/>
    </row>
    <row r="92" spans="5:8" x14ac:dyDescent="0.35">
      <c r="E92" s="3"/>
      <c r="F92" s="2"/>
      <c r="G92" s="129"/>
      <c r="H92" s="127"/>
    </row>
    <row r="93" spans="5:8" x14ac:dyDescent="0.35">
      <c r="E93" s="3"/>
      <c r="F93" s="2"/>
      <c r="G93" s="129"/>
      <c r="H93" s="127"/>
    </row>
    <row r="94" spans="5:8" x14ac:dyDescent="0.35">
      <c r="E94" s="3"/>
      <c r="F94" s="2"/>
      <c r="G94" s="129"/>
      <c r="H94" s="127"/>
    </row>
    <row r="95" spans="5:8" x14ac:dyDescent="0.35">
      <c r="E95" s="3"/>
      <c r="F95" s="2"/>
      <c r="G95" s="129"/>
      <c r="H95" s="127"/>
    </row>
    <row r="96" spans="5:8" x14ac:dyDescent="0.35">
      <c r="E96" s="3"/>
      <c r="F96" s="2"/>
      <c r="G96" s="129"/>
      <c r="H96" s="127"/>
    </row>
    <row r="97" spans="5:8" x14ac:dyDescent="0.35">
      <c r="E97" s="3"/>
      <c r="F97" s="2"/>
      <c r="G97" s="129"/>
      <c r="H97" s="127"/>
    </row>
    <row r="98" spans="5:8" x14ac:dyDescent="0.35">
      <c r="E98" s="3"/>
      <c r="F98" s="2"/>
      <c r="G98" s="129"/>
      <c r="H98" s="127"/>
    </row>
    <row r="99" spans="5:8" x14ac:dyDescent="0.35">
      <c r="E99" s="3"/>
      <c r="F99" s="2"/>
      <c r="G99" s="129"/>
      <c r="H99" s="127"/>
    </row>
    <row r="100" spans="5:8" x14ac:dyDescent="0.35">
      <c r="E100" s="3"/>
      <c r="F100" s="2"/>
      <c r="G100" s="129"/>
      <c r="H100" s="127"/>
    </row>
    <row r="101" spans="5:8" x14ac:dyDescent="0.35">
      <c r="E101" s="3"/>
      <c r="F101" s="2"/>
      <c r="G101" s="129"/>
      <c r="H101" s="127"/>
    </row>
    <row r="102" spans="5:8" x14ac:dyDescent="0.35">
      <c r="E102" s="3"/>
      <c r="F102" s="2"/>
      <c r="G102" s="129"/>
      <c r="H102" s="127"/>
    </row>
    <row r="103" spans="5:8" x14ac:dyDescent="0.35">
      <c r="E103" s="3"/>
      <c r="F103" s="2"/>
      <c r="G103" s="129"/>
      <c r="H103" s="127"/>
    </row>
    <row r="104" spans="5:8" x14ac:dyDescent="0.35">
      <c r="E104" s="3"/>
      <c r="F104" s="2"/>
      <c r="G104" s="129"/>
      <c r="H104" s="127"/>
    </row>
    <row r="105" spans="5:8" x14ac:dyDescent="0.35">
      <c r="E105" s="3"/>
      <c r="F105" s="2"/>
      <c r="G105" s="129"/>
      <c r="H105" s="127"/>
    </row>
    <row r="106" spans="5:8" x14ac:dyDescent="0.35">
      <c r="E106" s="3"/>
      <c r="F106" s="2"/>
      <c r="G106" s="129"/>
      <c r="H106" s="127"/>
    </row>
    <row r="107" spans="5:8" x14ac:dyDescent="0.35">
      <c r="E107" s="3"/>
      <c r="F107" s="2"/>
      <c r="G107" s="129"/>
      <c r="H107" s="127"/>
    </row>
    <row r="108" spans="5:8" x14ac:dyDescent="0.35">
      <c r="E108" s="3"/>
      <c r="F108" s="2"/>
      <c r="G108" s="129"/>
      <c r="H108" s="127"/>
    </row>
    <row r="109" spans="5:8" x14ac:dyDescent="0.35">
      <c r="E109" s="3"/>
      <c r="F109" s="2"/>
      <c r="G109" s="129"/>
      <c r="H109" s="127"/>
    </row>
    <row r="110" spans="5:8" x14ac:dyDescent="0.35">
      <c r="E110" s="3"/>
      <c r="F110" s="2"/>
      <c r="G110" s="129"/>
      <c r="H110" s="127"/>
    </row>
    <row r="111" spans="5:8" x14ac:dyDescent="0.35">
      <c r="E111" s="3"/>
      <c r="F111" s="2"/>
      <c r="G111" s="129"/>
      <c r="H111" s="127"/>
    </row>
    <row r="112" spans="5:8" x14ac:dyDescent="0.35">
      <c r="E112" s="3"/>
      <c r="F112" s="2"/>
      <c r="G112" s="129"/>
      <c r="H112" s="127"/>
    </row>
    <row r="113" spans="5:8" x14ac:dyDescent="0.35">
      <c r="E113" s="3"/>
      <c r="F113" s="2"/>
      <c r="G113" s="129"/>
      <c r="H113" s="127"/>
    </row>
    <row r="114" spans="5:8" x14ac:dyDescent="0.35">
      <c r="E114" s="3"/>
      <c r="F114" s="2"/>
      <c r="G114" s="129"/>
      <c r="H114" s="127"/>
    </row>
    <row r="115" spans="5:8" x14ac:dyDescent="0.35">
      <c r="E115" s="3"/>
      <c r="F115" s="2"/>
      <c r="G115" s="129"/>
      <c r="H115" s="127"/>
    </row>
    <row r="116" spans="5:8" x14ac:dyDescent="0.35">
      <c r="E116" s="3"/>
      <c r="F116" s="2"/>
      <c r="G116" s="129"/>
      <c r="H116" s="127"/>
    </row>
    <row r="117" spans="5:8" x14ac:dyDescent="0.35">
      <c r="E117" s="3"/>
      <c r="F117" s="2"/>
      <c r="G117" s="129"/>
      <c r="H117" s="127"/>
    </row>
    <row r="118" spans="5:8" x14ac:dyDescent="0.35">
      <c r="E118" s="3"/>
      <c r="F118" s="2"/>
      <c r="G118" s="129"/>
      <c r="H118" s="127"/>
    </row>
    <row r="119" spans="5:8" x14ac:dyDescent="0.35">
      <c r="E119" s="3"/>
      <c r="F119" s="2"/>
      <c r="G119" s="129"/>
      <c r="H119" s="127"/>
    </row>
    <row r="120" spans="5:8" x14ac:dyDescent="0.35">
      <c r="E120" s="3"/>
      <c r="F120" s="2"/>
      <c r="G120" s="129"/>
      <c r="H120" s="127"/>
    </row>
    <row r="121" spans="5:8" x14ac:dyDescent="0.35">
      <c r="E121" s="3"/>
      <c r="F121" s="2"/>
      <c r="G121" s="129"/>
      <c r="H121" s="127"/>
    </row>
    <row r="122" spans="5:8" x14ac:dyDescent="0.35">
      <c r="E122" s="3"/>
      <c r="F122" s="2"/>
      <c r="G122" s="129"/>
      <c r="H122" s="127"/>
    </row>
    <row r="123" spans="5:8" x14ac:dyDescent="0.35">
      <c r="E123" s="3"/>
      <c r="F123" s="2"/>
      <c r="G123" s="129"/>
      <c r="H123" s="127"/>
    </row>
    <row r="124" spans="5:8" x14ac:dyDescent="0.35">
      <c r="E124" s="3"/>
      <c r="F124" s="2"/>
      <c r="G124" s="129"/>
      <c r="H124" s="127"/>
    </row>
    <row r="125" spans="5:8" x14ac:dyDescent="0.35">
      <c r="E125" s="3"/>
      <c r="F125" s="2"/>
      <c r="G125" s="129"/>
      <c r="H125" s="127"/>
    </row>
    <row r="126" spans="5:8" x14ac:dyDescent="0.35">
      <c r="E126" s="3"/>
      <c r="F126" s="2"/>
      <c r="G126" s="129"/>
      <c r="H126" s="127"/>
    </row>
    <row r="127" spans="5:8" x14ac:dyDescent="0.35">
      <c r="E127" s="3"/>
      <c r="F127" s="2"/>
      <c r="G127" s="129"/>
      <c r="H127" s="127"/>
    </row>
    <row r="128" spans="5:8" x14ac:dyDescent="0.35">
      <c r="E128" s="3"/>
      <c r="F128" s="2"/>
      <c r="G128" s="129"/>
      <c r="H128" s="127"/>
    </row>
    <row r="129" spans="5:8" x14ac:dyDescent="0.35">
      <c r="E129" s="3"/>
      <c r="F129" s="2"/>
      <c r="G129" s="129"/>
      <c r="H129" s="127"/>
    </row>
    <row r="130" spans="5:8" x14ac:dyDescent="0.35">
      <c r="E130" s="3"/>
      <c r="F130" s="2"/>
      <c r="G130" s="129"/>
      <c r="H130" s="127"/>
    </row>
    <row r="131" spans="5:8" x14ac:dyDescent="0.35">
      <c r="E131" s="3"/>
      <c r="F131" s="2"/>
      <c r="G131" s="129"/>
      <c r="H131" s="127"/>
    </row>
    <row r="132" spans="5:8" x14ac:dyDescent="0.35">
      <c r="E132" s="3"/>
      <c r="F132" s="2"/>
      <c r="G132" s="129"/>
      <c r="H132" s="127"/>
    </row>
    <row r="133" spans="5:8" x14ac:dyDescent="0.35">
      <c r="E133" s="3"/>
      <c r="F133" s="2"/>
      <c r="G133" s="129"/>
      <c r="H133" s="127"/>
    </row>
    <row r="134" spans="5:8" x14ac:dyDescent="0.35">
      <c r="E134" s="3"/>
      <c r="F134" s="2"/>
      <c r="G134" s="129"/>
      <c r="H134" s="127"/>
    </row>
    <row r="135" spans="5:8" x14ac:dyDescent="0.35">
      <c r="E135" s="3"/>
      <c r="F135" s="2"/>
      <c r="G135" s="129"/>
      <c r="H135" s="127"/>
    </row>
    <row r="136" spans="5:8" x14ac:dyDescent="0.35">
      <c r="E136" s="3"/>
      <c r="F136" s="2"/>
      <c r="G136" s="129"/>
      <c r="H136" s="127"/>
    </row>
    <row r="137" spans="5:8" x14ac:dyDescent="0.35">
      <c r="E137" s="3"/>
      <c r="F137" s="2"/>
      <c r="G137" s="129"/>
      <c r="H137" s="127"/>
    </row>
    <row r="138" spans="5:8" x14ac:dyDescent="0.35">
      <c r="E138" s="3"/>
      <c r="F138" s="2"/>
      <c r="G138" s="129"/>
      <c r="H138" s="127"/>
    </row>
    <row r="139" spans="5:8" x14ac:dyDescent="0.35">
      <c r="E139" s="3"/>
      <c r="F139" s="2"/>
      <c r="G139" s="129"/>
      <c r="H139" s="127"/>
    </row>
    <row r="140" spans="5:8" x14ac:dyDescent="0.35">
      <c r="E140" s="3"/>
      <c r="F140" s="2"/>
      <c r="G140" s="129"/>
      <c r="H140" s="127"/>
    </row>
    <row r="141" spans="5:8" x14ac:dyDescent="0.35">
      <c r="E141" s="3"/>
      <c r="F141" s="2"/>
      <c r="G141" s="129"/>
      <c r="H141" s="127"/>
    </row>
    <row r="142" spans="5:8" x14ac:dyDescent="0.35">
      <c r="E142" s="3"/>
      <c r="F142" s="2"/>
      <c r="G142" s="129"/>
      <c r="H142" s="127"/>
    </row>
    <row r="143" spans="5:8" x14ac:dyDescent="0.35">
      <c r="E143" s="3"/>
      <c r="F143" s="2"/>
      <c r="G143" s="129"/>
      <c r="H143" s="127"/>
    </row>
    <row r="144" spans="5:8" x14ac:dyDescent="0.35">
      <c r="E144" s="3"/>
      <c r="F144" s="2"/>
      <c r="G144" s="129"/>
      <c r="H144" s="127"/>
    </row>
    <row r="145" spans="5:8" x14ac:dyDescent="0.35">
      <c r="E145" s="3"/>
      <c r="F145" s="2"/>
      <c r="G145" s="129"/>
      <c r="H145" s="127"/>
    </row>
    <row r="146" spans="5:8" x14ac:dyDescent="0.35">
      <c r="E146" s="3"/>
      <c r="F146" s="2"/>
      <c r="G146" s="129"/>
      <c r="H146" s="127"/>
    </row>
    <row r="147" spans="5:8" x14ac:dyDescent="0.35">
      <c r="E147" s="3"/>
      <c r="F147" s="2"/>
      <c r="G147" s="129"/>
      <c r="H147" s="127"/>
    </row>
    <row r="148" spans="5:8" x14ac:dyDescent="0.35">
      <c r="E148" s="3"/>
      <c r="F148" s="2"/>
      <c r="G148" s="129"/>
      <c r="H148" s="127"/>
    </row>
    <row r="149" spans="5:8" x14ac:dyDescent="0.35">
      <c r="E149" s="3"/>
      <c r="F149" s="3"/>
      <c r="G149" s="129"/>
      <c r="H149" s="127"/>
    </row>
  </sheetData>
  <conditionalFormatting sqref="G1:G1048576">
    <cfRule type="cellIs" dxfId="1" priority="2" operator="lessThan">
      <formula>0</formula>
    </cfRule>
    <cfRule type="cellIs" dxfId="0" priority="3" operator="greaterThan">
      <formula>0</formula>
    </cfRule>
  </conditionalFormatting>
  <dataValidations count="1">
    <dataValidation type="list" allowBlank="1" showInputMessage="1" showErrorMessage="1" sqref="F44:F148 F1:F42" xr:uid="{CB0586C2-883C-48C1-9917-930122D94C8D}">
      <formula1>$K$4:$K$29</formula1>
    </dataValidation>
  </dataValidations>
  <pageMargins left="0.75" right="0.75" top="1" bottom="1" header="0.5" footer="0.5"/>
  <pageSetup orientation="portrait" horizontalDpi="0" verticalDpi="0" r:id="rId1"/>
  <ignoredErrors>
    <ignoredError sqref="H2:H5 H6:H46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439B9-3F62-4748-B2E8-271CCBD793AF}">
  <sheetPr codeName="Sheet3"/>
  <dimension ref="A1:P53"/>
  <sheetViews>
    <sheetView topLeftCell="A3" zoomScale="90" zoomScaleNormal="90" workbookViewId="0">
      <selection activeCell="L34" sqref="L34"/>
    </sheetView>
  </sheetViews>
  <sheetFormatPr defaultColWidth="11.15234375" defaultRowHeight="15.5" x14ac:dyDescent="0.35"/>
  <cols>
    <col min="1" max="1" width="5.69140625" customWidth="1"/>
    <col min="2" max="2" width="40.53515625" customWidth="1"/>
    <col min="3" max="3" width="17.53515625" customWidth="1"/>
    <col min="4" max="4" width="13" customWidth="1"/>
    <col min="5" max="5" width="13.69140625" bestFit="1" customWidth="1"/>
    <col min="6" max="6" width="6.84375" customWidth="1"/>
    <col min="7" max="7" width="18.765625" bestFit="1" customWidth="1"/>
    <col min="8" max="8" width="16.53515625" bestFit="1" customWidth="1"/>
    <col min="10" max="10" width="8.921875" customWidth="1"/>
    <col min="11" max="11" width="11.3828125" customWidth="1"/>
  </cols>
  <sheetData>
    <row r="1" spans="1:13" x14ac:dyDescent="0.3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49" customHeight="1" x14ac:dyDescent="0.35">
      <c r="A2" s="67"/>
      <c r="B2" s="71" t="s">
        <v>58</v>
      </c>
      <c r="C2" s="70"/>
      <c r="D2" s="70"/>
      <c r="E2" s="58" t="e" vm="1">
        <v>#VALUE!</v>
      </c>
      <c r="F2" s="67"/>
      <c r="G2" s="67"/>
      <c r="H2" s="67"/>
      <c r="I2" s="67"/>
      <c r="J2" s="67"/>
      <c r="K2" s="67"/>
      <c r="L2" s="67"/>
      <c r="M2" s="67"/>
    </row>
    <row r="3" spans="1:13" x14ac:dyDescent="0.3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8" x14ac:dyDescent="0.4">
      <c r="A4" s="67"/>
      <c r="B4" s="19" t="s">
        <v>11</v>
      </c>
      <c r="C4" s="32" t="s">
        <v>186</v>
      </c>
      <c r="D4" s="33" t="s">
        <v>187</v>
      </c>
      <c r="E4" s="37" t="s">
        <v>38</v>
      </c>
      <c r="F4" s="67"/>
      <c r="G4" s="48" t="s">
        <v>188</v>
      </c>
      <c r="H4" s="67"/>
      <c r="I4" s="67"/>
      <c r="J4" s="67"/>
      <c r="K4" s="67"/>
      <c r="L4" s="67"/>
      <c r="M4" s="67"/>
    </row>
    <row r="5" spans="1:13" ht="18" x14ac:dyDescent="0.4">
      <c r="A5" s="67"/>
      <c r="B5" s="9" t="s">
        <v>5</v>
      </c>
      <c r="C5" s="13">
        <v>30000</v>
      </c>
      <c r="D5" s="14">
        <f>SUMIF(Table1[Category],"Annual Fund",Table1[Total])</f>
        <v>17681.84</v>
      </c>
      <c r="E5" s="38">
        <f>(D5/C5)</f>
        <v>0.58939466666666662</v>
      </c>
      <c r="F5" s="67"/>
      <c r="G5" s="66">
        <f>SUM(D44:D45)-7500</f>
        <v>3329.59</v>
      </c>
      <c r="H5" s="67"/>
      <c r="I5" s="67"/>
      <c r="J5" s="67"/>
      <c r="K5" s="67"/>
      <c r="L5" s="67"/>
      <c r="M5" s="67"/>
    </row>
    <row r="6" spans="1:13" ht="18" x14ac:dyDescent="0.35">
      <c r="A6" s="67"/>
      <c r="B6" s="9" t="s">
        <v>145</v>
      </c>
      <c r="C6" s="13">
        <f>SUM(C7:C11)</f>
        <v>25500</v>
      </c>
      <c r="D6" s="34">
        <f>SUM(D7:D11)</f>
        <v>26286.730000000003</v>
      </c>
      <c r="E6" s="38">
        <f>(D6/C6)</f>
        <v>1.0308521568627451</v>
      </c>
      <c r="F6" s="67"/>
      <c r="G6" s="69" t="s">
        <v>40</v>
      </c>
      <c r="H6" s="67"/>
      <c r="I6" s="67"/>
      <c r="J6" s="67"/>
      <c r="K6" s="67"/>
      <c r="L6" s="67"/>
      <c r="M6" s="67"/>
    </row>
    <row r="7" spans="1:13" ht="17.5" x14ac:dyDescent="0.35">
      <c r="A7" s="67"/>
      <c r="B7" s="41" t="s">
        <v>172</v>
      </c>
      <c r="C7" s="42">
        <v>12000</v>
      </c>
      <c r="D7" s="53">
        <f>SUMIF(Table1[Category],B7,Table1[Total])</f>
        <v>14508.26</v>
      </c>
      <c r="E7" s="44"/>
      <c r="F7" s="67"/>
      <c r="G7" s="67"/>
      <c r="H7" s="67"/>
      <c r="I7" s="67"/>
      <c r="J7" s="67"/>
      <c r="K7" s="67"/>
      <c r="L7" s="67"/>
      <c r="M7" s="67"/>
    </row>
    <row r="8" spans="1:13" ht="17.5" x14ac:dyDescent="0.35">
      <c r="A8" s="67"/>
      <c r="B8" s="41" t="s">
        <v>13</v>
      </c>
      <c r="C8" s="42">
        <v>1500</v>
      </c>
      <c r="D8" s="47">
        <f>SUMIF(Table1[Category],B8,Table1[Total])</f>
        <v>1182.5999999999999</v>
      </c>
      <c r="E8" s="44"/>
      <c r="F8" s="67"/>
      <c r="G8" s="67"/>
      <c r="H8" s="67"/>
      <c r="I8" s="67"/>
      <c r="J8" s="67"/>
      <c r="K8" s="67"/>
      <c r="L8" s="67"/>
      <c r="M8" s="67"/>
    </row>
    <row r="9" spans="1:13" ht="17.5" x14ac:dyDescent="0.35">
      <c r="A9" s="67"/>
      <c r="B9" s="41" t="s">
        <v>55</v>
      </c>
      <c r="C9" s="42">
        <v>5000</v>
      </c>
      <c r="D9" s="46"/>
      <c r="E9" s="44"/>
      <c r="F9" s="67"/>
      <c r="G9" s="60" t="s">
        <v>5</v>
      </c>
      <c r="H9" s="54">
        <f>D5</f>
        <v>17681.84</v>
      </c>
      <c r="I9" s="55">
        <f>H9/$H$14</f>
        <v>0.40214726110037241</v>
      </c>
      <c r="J9" s="67"/>
      <c r="K9" s="67"/>
      <c r="L9" s="67"/>
      <c r="M9" s="67"/>
    </row>
    <row r="10" spans="1:13" ht="17.5" x14ac:dyDescent="0.35">
      <c r="A10" s="67"/>
      <c r="B10" s="41" t="s">
        <v>14</v>
      </c>
      <c r="C10" s="42">
        <v>6000</v>
      </c>
      <c r="D10" s="47">
        <f>SUMIF(Table1[Category],B10,Table1[Total])</f>
        <v>4985.8999999999996</v>
      </c>
      <c r="E10" s="44"/>
      <c r="F10" s="67"/>
      <c r="G10" s="61" t="s">
        <v>12</v>
      </c>
      <c r="H10" s="56">
        <f>D7</f>
        <v>14508.26</v>
      </c>
      <c r="I10" s="57">
        <f>H10/$H$14</f>
        <v>0.32996888459188006</v>
      </c>
      <c r="J10" s="67"/>
      <c r="K10" s="67"/>
      <c r="L10" s="67"/>
      <c r="M10" s="67"/>
    </row>
    <row r="11" spans="1:13" ht="17.5" x14ac:dyDescent="0.35">
      <c r="A11" s="67"/>
      <c r="B11" s="41" t="s">
        <v>35</v>
      </c>
      <c r="C11" s="42">
        <v>1000</v>
      </c>
      <c r="D11" s="47">
        <f>SUMIF(Table1[Category],B11,Table1[Total])</f>
        <v>5609.9699999999993</v>
      </c>
      <c r="E11" s="44"/>
      <c r="F11" s="67"/>
      <c r="G11" s="61" t="s">
        <v>45</v>
      </c>
      <c r="H11" s="56">
        <f>D11</f>
        <v>5609.9699999999993</v>
      </c>
      <c r="I11" s="57">
        <f>H11/$H$14</f>
        <v>0.12759045836605556</v>
      </c>
      <c r="J11" s="67"/>
      <c r="K11" s="67"/>
      <c r="L11" s="67"/>
      <c r="M11" s="67"/>
    </row>
    <row r="12" spans="1:13" ht="18" x14ac:dyDescent="0.4">
      <c r="A12" s="67"/>
      <c r="B12" s="16" t="s">
        <v>15</v>
      </c>
      <c r="C12" s="17">
        <f>SUM(C6,C5)</f>
        <v>55500</v>
      </c>
      <c r="D12" s="18">
        <f>SUM(D5:D6)</f>
        <v>43968.570000000007</v>
      </c>
      <c r="E12" s="39">
        <f>D12/C12</f>
        <v>0.79222648648648664</v>
      </c>
      <c r="F12" s="67"/>
      <c r="G12" s="61" t="s">
        <v>14</v>
      </c>
      <c r="H12" s="56">
        <f>D10</f>
        <v>4985.8999999999996</v>
      </c>
      <c r="I12" s="57">
        <f>H12/$H$14</f>
        <v>0.11339691056588831</v>
      </c>
      <c r="J12" s="67"/>
      <c r="K12" s="67"/>
      <c r="L12" s="67"/>
      <c r="M12" s="67"/>
    </row>
    <row r="13" spans="1:13" ht="18" x14ac:dyDescent="0.4">
      <c r="A13" s="67"/>
      <c r="B13" s="20" t="s">
        <v>16</v>
      </c>
      <c r="C13" s="6"/>
      <c r="D13" s="7"/>
      <c r="E13" s="35"/>
      <c r="F13" s="67"/>
      <c r="G13" s="61" t="s">
        <v>49</v>
      </c>
      <c r="H13" s="56">
        <f>D8</f>
        <v>1182.5999999999999</v>
      </c>
      <c r="I13" s="57">
        <f>H13/$H$14</f>
        <v>2.6896485375803667E-2</v>
      </c>
      <c r="J13" s="67"/>
      <c r="K13" s="67"/>
      <c r="L13" s="67"/>
      <c r="M13" s="67"/>
    </row>
    <row r="14" spans="1:13" ht="18" x14ac:dyDescent="0.4">
      <c r="A14" s="67"/>
      <c r="B14" s="11" t="s">
        <v>17</v>
      </c>
      <c r="C14" s="15">
        <f>SUM(C15:C22)</f>
        <v>3200</v>
      </c>
      <c r="D14" s="12">
        <f>SUM(D15:D22)</f>
        <v>3079.52</v>
      </c>
      <c r="E14" s="40">
        <f>D14/C14</f>
        <v>0.96235000000000004</v>
      </c>
      <c r="F14" s="67"/>
      <c r="G14" s="62" t="s">
        <v>15</v>
      </c>
      <c r="H14" s="63">
        <f>SUM(H9:H13)</f>
        <v>43968.57</v>
      </c>
      <c r="I14" s="58"/>
      <c r="J14" s="67"/>
      <c r="K14" s="67"/>
      <c r="L14" s="67"/>
      <c r="M14" s="67"/>
    </row>
    <row r="15" spans="1:13" ht="17.5" x14ac:dyDescent="0.35">
      <c r="A15" s="67"/>
      <c r="B15" s="41" t="s">
        <v>174</v>
      </c>
      <c r="C15" s="42">
        <v>1500</v>
      </c>
      <c r="D15" s="43">
        <f>ABS(SUMIF(Table1[Category],B15,Table1[Total]))</f>
        <v>1500</v>
      </c>
      <c r="E15" s="44"/>
      <c r="F15" s="67"/>
      <c r="G15" s="67"/>
      <c r="H15" s="67"/>
      <c r="I15" s="67"/>
      <c r="J15" s="67"/>
      <c r="K15" s="67"/>
      <c r="L15" s="67"/>
      <c r="M15" s="67"/>
    </row>
    <row r="16" spans="1:13" ht="17.5" x14ac:dyDescent="0.35">
      <c r="A16" s="67"/>
      <c r="B16" s="41" t="s">
        <v>10</v>
      </c>
      <c r="C16" s="42">
        <v>850</v>
      </c>
      <c r="D16" s="43">
        <f>ABS(SUMIF(Table1[Category],B16,Table1[Total]))</f>
        <v>850</v>
      </c>
      <c r="E16" s="44"/>
      <c r="F16" s="67"/>
      <c r="G16" s="60" t="s">
        <v>22</v>
      </c>
      <c r="H16" s="54">
        <f>D23</f>
        <v>23163.99</v>
      </c>
      <c r="I16" s="55">
        <f>H16/$H$21</f>
        <v>0.51118938974809291</v>
      </c>
      <c r="J16" s="67"/>
      <c r="K16" s="67"/>
      <c r="L16" s="67"/>
      <c r="M16" s="67"/>
    </row>
    <row r="17" spans="1:13" ht="17.5" x14ac:dyDescent="0.35">
      <c r="A17" s="67"/>
      <c r="B17" s="41" t="s">
        <v>18</v>
      </c>
      <c r="C17" s="42">
        <v>400</v>
      </c>
      <c r="D17" s="43">
        <f>ABS(SUMIF(Table1[Category],B17,Table1[Total]))</f>
        <v>320</v>
      </c>
      <c r="E17" s="44"/>
      <c r="F17" s="67"/>
      <c r="G17" s="61" t="s">
        <v>50</v>
      </c>
      <c r="H17" s="56">
        <f>D26</f>
        <v>14678.07</v>
      </c>
      <c r="I17" s="57">
        <f>H17/$H$21</f>
        <v>0.32391974120088074</v>
      </c>
      <c r="J17" s="67"/>
      <c r="K17" s="67"/>
      <c r="L17" s="67"/>
      <c r="M17" s="67"/>
    </row>
    <row r="18" spans="1:13" ht="17.5" x14ac:dyDescent="0.35">
      <c r="A18" s="67"/>
      <c r="B18" s="41" t="s">
        <v>54</v>
      </c>
      <c r="C18" s="42">
        <v>25</v>
      </c>
      <c r="D18" s="43">
        <f>ABS(SUMIF(Table1[Category],B18,Table1[Total]))</f>
        <v>209.52</v>
      </c>
      <c r="E18" s="44"/>
      <c r="F18" s="67"/>
      <c r="G18" s="61" t="s">
        <v>51</v>
      </c>
      <c r="H18" s="56">
        <f>D32</f>
        <v>3392.33</v>
      </c>
      <c r="I18" s="57">
        <f>H18/$H$21</f>
        <v>7.4862884266663376E-2</v>
      </c>
      <c r="J18" s="67"/>
      <c r="K18" s="67"/>
      <c r="L18" s="67"/>
      <c r="M18" s="67"/>
    </row>
    <row r="19" spans="1:13" ht="17.5" x14ac:dyDescent="0.35">
      <c r="A19" s="67"/>
      <c r="B19" s="41" t="s">
        <v>19</v>
      </c>
      <c r="C19" s="42">
        <v>35</v>
      </c>
      <c r="D19" s="43">
        <f>ABS(SUMIF(Table1[Category],B19,Table1[Total]))</f>
        <v>0</v>
      </c>
      <c r="E19" s="44"/>
      <c r="F19" s="67"/>
      <c r="G19" s="61" t="s">
        <v>47</v>
      </c>
      <c r="H19" s="56">
        <f>D14</f>
        <v>3079.52</v>
      </c>
      <c r="I19" s="57">
        <f>H19/$H$21</f>
        <v>6.7959705971080406E-2</v>
      </c>
      <c r="J19" s="67"/>
      <c r="K19" s="67"/>
      <c r="L19" s="67"/>
      <c r="M19" s="67"/>
    </row>
    <row r="20" spans="1:13" ht="17.5" x14ac:dyDescent="0.35">
      <c r="A20" s="67"/>
      <c r="B20" s="41" t="s">
        <v>64</v>
      </c>
      <c r="C20" s="42">
        <v>140</v>
      </c>
      <c r="D20" s="43">
        <f>ABS(SUMIF(Table1[Category],B20,Table1[Total]))</f>
        <v>0</v>
      </c>
      <c r="E20" s="44"/>
      <c r="F20" s="67"/>
      <c r="G20" s="61" t="s">
        <v>46</v>
      </c>
      <c r="H20" s="56">
        <f>D36</f>
        <v>1000</v>
      </c>
      <c r="I20" s="57">
        <f>H20/$H$21</f>
        <v>2.2068278813282723E-2</v>
      </c>
      <c r="J20" s="67"/>
      <c r="K20" s="67"/>
      <c r="L20" s="67"/>
      <c r="M20" s="67"/>
    </row>
    <row r="21" spans="1:13" ht="17.5" x14ac:dyDescent="0.35">
      <c r="A21" s="67"/>
      <c r="B21" s="41" t="s">
        <v>20</v>
      </c>
      <c r="C21" s="42">
        <v>150</v>
      </c>
      <c r="D21" s="43">
        <f>ABS(SUMIF(Table1[Category],B21,Table1[Total]))</f>
        <v>200</v>
      </c>
      <c r="E21" s="44"/>
      <c r="F21" s="67"/>
      <c r="G21" s="64" t="s">
        <v>48</v>
      </c>
      <c r="H21" s="65">
        <f>SUM(H16:H20)</f>
        <v>45313.909999999996</v>
      </c>
      <c r="I21" s="58"/>
      <c r="J21" s="67"/>
      <c r="K21" s="67"/>
      <c r="L21" s="67"/>
      <c r="M21" s="67"/>
    </row>
    <row r="22" spans="1:13" ht="17.5" x14ac:dyDescent="0.35">
      <c r="A22" s="67"/>
      <c r="B22" s="41" t="s">
        <v>21</v>
      </c>
      <c r="C22" s="42">
        <v>100</v>
      </c>
      <c r="D22" s="43">
        <f>ABS(SUMIF(Table1[Category],B22,Table1[Total]))</f>
        <v>0</v>
      </c>
      <c r="E22" s="44"/>
      <c r="F22" s="67"/>
      <c r="G22" s="67"/>
      <c r="H22" s="67"/>
      <c r="I22" s="67"/>
      <c r="J22" s="67"/>
      <c r="K22" s="67"/>
      <c r="L22" s="67"/>
      <c r="M22" s="67"/>
    </row>
    <row r="23" spans="1:13" ht="18" x14ac:dyDescent="0.4">
      <c r="A23" s="67"/>
      <c r="B23" s="10" t="s">
        <v>22</v>
      </c>
      <c r="C23" s="59">
        <f>SUM(C24:C25)</f>
        <v>38000</v>
      </c>
      <c r="D23" s="8">
        <f>SUM(D24:D25)</f>
        <v>23163.99</v>
      </c>
      <c r="E23" s="38">
        <f>D24/C24</f>
        <v>0.57894736842105265</v>
      </c>
      <c r="F23" s="67"/>
      <c r="G23" s="67"/>
      <c r="H23" s="67"/>
      <c r="I23" s="67"/>
      <c r="J23" s="67"/>
      <c r="K23" s="67"/>
      <c r="L23" s="67"/>
      <c r="M23" s="67"/>
    </row>
    <row r="24" spans="1:13" ht="17.5" x14ac:dyDescent="0.35">
      <c r="A24" s="67"/>
      <c r="B24" s="49" t="s">
        <v>148</v>
      </c>
      <c r="C24" s="42">
        <v>38000</v>
      </c>
      <c r="D24" s="82">
        <f>ABS(SUMIF(Table1[Category],B24,Table1[Total]))</f>
        <v>22000</v>
      </c>
      <c r="E24" s="51"/>
      <c r="F24" s="67"/>
      <c r="G24" s="104" t="s">
        <v>56</v>
      </c>
      <c r="H24" s="72"/>
      <c r="I24" s="72"/>
      <c r="J24" s="73"/>
      <c r="K24" s="67"/>
      <c r="L24" s="67"/>
      <c r="M24" s="67"/>
    </row>
    <row r="25" spans="1:13" ht="18" customHeight="1" x14ac:dyDescent="0.35">
      <c r="A25" s="67"/>
      <c r="B25" s="41" t="s">
        <v>57</v>
      </c>
      <c r="C25" s="50"/>
      <c r="D25" s="82">
        <f>ABS(SUMIF(Table1[Category],B25,Table1[Total]))</f>
        <v>1163.99</v>
      </c>
      <c r="E25" s="52"/>
      <c r="F25" s="67"/>
      <c r="G25" s="107" t="s">
        <v>12</v>
      </c>
      <c r="H25" s="105" t="s">
        <v>170</v>
      </c>
      <c r="I25" s="72"/>
      <c r="J25" s="73"/>
      <c r="K25" s="67"/>
      <c r="L25" s="67"/>
      <c r="M25" s="67"/>
    </row>
    <row r="26" spans="1:13" ht="18" x14ac:dyDescent="0.4">
      <c r="A26" s="67"/>
      <c r="B26" s="9" t="s">
        <v>53</v>
      </c>
      <c r="C26" s="13">
        <f>SUM(C27:C35)</f>
        <v>28425</v>
      </c>
      <c r="D26" s="8">
        <f>SUM(D27:D31)</f>
        <v>14678.07</v>
      </c>
      <c r="E26" s="38">
        <f>D26/C26</f>
        <v>0.5163788918205805</v>
      </c>
      <c r="F26" s="67"/>
      <c r="G26" s="108"/>
      <c r="H26" s="106" t="s">
        <v>171</v>
      </c>
      <c r="I26" s="95"/>
      <c r="J26" s="96"/>
      <c r="K26" s="67"/>
      <c r="L26" s="67"/>
      <c r="M26" s="67"/>
    </row>
    <row r="27" spans="1:13" ht="17.5" x14ac:dyDescent="0.35">
      <c r="A27" s="67"/>
      <c r="B27" s="41" t="s">
        <v>8</v>
      </c>
      <c r="C27" s="42">
        <v>10000</v>
      </c>
      <c r="D27" s="43">
        <f>ABS(SUMIF(Table1[Category],B27,Table1[Total]))</f>
        <v>6763.58</v>
      </c>
      <c r="E27" s="44"/>
      <c r="F27" s="67"/>
      <c r="G27" s="83" t="s">
        <v>8</v>
      </c>
      <c r="H27" s="113" t="s">
        <v>153</v>
      </c>
      <c r="I27" s="114"/>
      <c r="J27" s="73"/>
      <c r="K27" s="67"/>
      <c r="L27" s="67"/>
      <c r="M27" s="67"/>
    </row>
    <row r="28" spans="1:13" ht="17.5" x14ac:dyDescent="0.35">
      <c r="A28" s="67"/>
      <c r="B28" s="41" t="s">
        <v>7</v>
      </c>
      <c r="C28" s="42">
        <v>5000</v>
      </c>
      <c r="D28" s="43">
        <f>ABS(SUMIF(Table1[Category],B28,Table1[Total]))</f>
        <v>3276.32</v>
      </c>
      <c r="E28" s="44"/>
      <c r="F28" s="67"/>
      <c r="G28" s="75"/>
      <c r="H28" s="115" t="s">
        <v>154</v>
      </c>
      <c r="I28" s="116"/>
      <c r="J28" s="96"/>
      <c r="K28" s="67"/>
      <c r="L28" s="67"/>
      <c r="M28" s="67"/>
    </row>
    <row r="29" spans="1:13" ht="17.5" x14ac:dyDescent="0.35">
      <c r="A29" s="67"/>
      <c r="B29" s="41" t="s">
        <v>23</v>
      </c>
      <c r="C29" s="42">
        <v>3000</v>
      </c>
      <c r="D29" s="43">
        <f>ABS(SUMIF(Table1[Category],B29,Table1[Total]))</f>
        <v>2254.06</v>
      </c>
      <c r="E29" s="44"/>
      <c r="F29" s="67"/>
      <c r="G29" s="112" t="s">
        <v>9</v>
      </c>
      <c r="H29" s="85" t="s">
        <v>175</v>
      </c>
      <c r="I29" s="50"/>
      <c r="J29" s="96"/>
      <c r="K29" s="67"/>
      <c r="L29" s="67"/>
      <c r="M29" s="67"/>
    </row>
    <row r="30" spans="1:13" ht="17.5" x14ac:dyDescent="0.35">
      <c r="A30" s="67"/>
      <c r="B30" s="41" t="s">
        <v>27</v>
      </c>
      <c r="C30" s="42">
        <v>500</v>
      </c>
      <c r="D30" s="43">
        <f>ABS(SUMIF(Table1[Category],B30,Table1[Total]))</f>
        <v>459.11</v>
      </c>
      <c r="E30" s="44"/>
      <c r="F30" s="67"/>
      <c r="G30" s="77" t="s">
        <v>41</v>
      </c>
      <c r="H30" s="76" t="s">
        <v>60</v>
      </c>
      <c r="I30" s="72"/>
      <c r="J30" s="73"/>
      <c r="K30" s="67"/>
      <c r="L30" s="67"/>
      <c r="M30" s="67"/>
    </row>
    <row r="31" spans="1:13" ht="17.5" x14ac:dyDescent="0.35">
      <c r="A31" s="67"/>
      <c r="B31" s="41" t="s">
        <v>24</v>
      </c>
      <c r="C31" s="42">
        <v>1925</v>
      </c>
      <c r="D31" s="43">
        <f>ABS(SUMIF(Table1[Category],B31,Table1[Total]))</f>
        <v>1925</v>
      </c>
      <c r="E31" s="44"/>
      <c r="F31" s="67"/>
      <c r="G31" s="75"/>
      <c r="H31" s="94" t="s">
        <v>59</v>
      </c>
      <c r="I31" s="95"/>
      <c r="J31" s="96"/>
      <c r="K31" s="67"/>
      <c r="L31" s="67"/>
      <c r="M31" s="67"/>
    </row>
    <row r="32" spans="1:13" ht="18" x14ac:dyDescent="0.4">
      <c r="A32" s="67"/>
      <c r="B32" s="9" t="s">
        <v>52</v>
      </c>
      <c r="C32" s="59">
        <f>SUM(C33:C35)</f>
        <v>4000</v>
      </c>
      <c r="D32" s="8">
        <f>SUM(D33:D35)</f>
        <v>3392.33</v>
      </c>
      <c r="E32" s="38">
        <f>D32/C32</f>
        <v>0.84808249999999996</v>
      </c>
      <c r="F32" s="67"/>
      <c r="G32" s="83" t="s">
        <v>62</v>
      </c>
      <c r="H32" s="78" t="s">
        <v>63</v>
      </c>
      <c r="I32" s="50"/>
      <c r="J32" s="74"/>
      <c r="K32" s="67"/>
      <c r="L32" s="67"/>
      <c r="M32" s="67"/>
    </row>
    <row r="33" spans="1:16" ht="17.5" x14ac:dyDescent="0.35">
      <c r="A33" s="67"/>
      <c r="B33" s="41" t="s">
        <v>25</v>
      </c>
      <c r="C33" s="42">
        <v>1000</v>
      </c>
      <c r="D33" s="81">
        <f>ABS(SUMIF(Table1[Category],B33,Table1[Total]))</f>
        <v>149.1</v>
      </c>
      <c r="E33" s="44"/>
      <c r="F33" s="67"/>
      <c r="G33" s="84" t="s">
        <v>139</v>
      </c>
      <c r="H33" s="85" t="s">
        <v>140</v>
      </c>
      <c r="I33" s="70"/>
      <c r="J33" s="58"/>
      <c r="K33" s="67"/>
      <c r="L33" s="67"/>
      <c r="M33" s="67"/>
    </row>
    <row r="34" spans="1:16" ht="17.5" x14ac:dyDescent="0.35">
      <c r="A34" s="67"/>
      <c r="B34" s="41" t="s">
        <v>61</v>
      </c>
      <c r="C34" s="42">
        <v>2500</v>
      </c>
      <c r="D34" s="81">
        <f>ABS(SUMIF(Table1[Category],B34,Table1[Total]))</f>
        <v>371</v>
      </c>
      <c r="E34" s="44"/>
      <c r="F34" s="67"/>
      <c r="G34" s="84" t="s">
        <v>146</v>
      </c>
      <c r="H34" s="90" t="s">
        <v>147</v>
      </c>
      <c r="I34" s="70"/>
      <c r="J34" s="58"/>
      <c r="K34" s="67"/>
      <c r="L34" s="67"/>
      <c r="M34" s="67"/>
    </row>
    <row r="35" spans="1:16" ht="17.5" x14ac:dyDescent="0.35">
      <c r="A35" s="67"/>
      <c r="B35" s="41" t="s">
        <v>138</v>
      </c>
      <c r="C35" s="42">
        <v>500</v>
      </c>
      <c r="D35" s="81">
        <f>ABS(SUMIF(Table1[Category],B35,Table1[Total]))</f>
        <v>2872.23</v>
      </c>
      <c r="E35" s="44"/>
      <c r="F35" s="67"/>
      <c r="G35" s="84" t="s">
        <v>156</v>
      </c>
      <c r="H35" s="90" t="s">
        <v>157</v>
      </c>
      <c r="I35" s="70"/>
      <c r="J35" s="58"/>
      <c r="K35" s="67"/>
      <c r="L35" s="67"/>
      <c r="M35" s="67"/>
      <c r="N35" s="3"/>
    </row>
    <row r="36" spans="1:16" ht="18" x14ac:dyDescent="0.4">
      <c r="A36" s="67"/>
      <c r="B36" s="9" t="s">
        <v>28</v>
      </c>
      <c r="C36" s="13">
        <f>SUM(C37:C40)</f>
        <v>1500</v>
      </c>
      <c r="D36" s="8">
        <f>SUM(D37:D39)</f>
        <v>1000</v>
      </c>
      <c r="E36" s="38">
        <f>D36/C36</f>
        <v>0.66666666666666663</v>
      </c>
      <c r="F36" s="67"/>
      <c r="G36" s="67"/>
      <c r="H36" s="67"/>
      <c r="I36" s="67"/>
      <c r="J36" s="67"/>
      <c r="K36" s="67"/>
      <c r="L36" s="67"/>
      <c r="M36" s="67"/>
    </row>
    <row r="37" spans="1:16" ht="17.5" x14ac:dyDescent="0.35">
      <c r="A37" s="67"/>
      <c r="B37" s="41" t="s">
        <v>36</v>
      </c>
      <c r="C37" s="42">
        <v>500</v>
      </c>
      <c r="D37" s="43">
        <f>ABS(SUMIF(Table1[Category],B37,Table1[Total]))</f>
        <v>500</v>
      </c>
      <c r="E37" s="44"/>
      <c r="F37" s="67"/>
      <c r="G37" s="67"/>
      <c r="H37" s="67"/>
      <c r="I37" s="67"/>
      <c r="J37" s="67"/>
      <c r="K37" s="67"/>
      <c r="L37" s="67"/>
      <c r="M37" s="67"/>
    </row>
    <row r="38" spans="1:16" ht="17.5" x14ac:dyDescent="0.35">
      <c r="A38" s="67"/>
      <c r="B38" s="41" t="s">
        <v>29</v>
      </c>
      <c r="C38" s="42">
        <v>500</v>
      </c>
      <c r="D38" s="43">
        <f>ABS(SUMIF(Table1[Category],B38,Table1[Total]))</f>
        <v>500</v>
      </c>
      <c r="E38" s="44"/>
      <c r="F38" s="67"/>
      <c r="G38" s="67"/>
      <c r="H38" s="67"/>
      <c r="I38" s="67"/>
      <c r="J38" s="67"/>
      <c r="K38" s="67"/>
      <c r="L38" s="67"/>
      <c r="M38" s="67"/>
    </row>
    <row r="39" spans="1:16" ht="17.5" x14ac:dyDescent="0.35">
      <c r="A39" s="67"/>
      <c r="B39" s="41" t="s">
        <v>141</v>
      </c>
      <c r="C39" s="42">
        <v>250</v>
      </c>
      <c r="D39" s="43">
        <f>ABS(SUMIF(Table1[Category],B39,Table1[Total]))</f>
        <v>0</v>
      </c>
      <c r="E39" s="44"/>
      <c r="F39" s="67"/>
      <c r="G39" s="67"/>
      <c r="H39" s="67"/>
      <c r="I39" s="67"/>
      <c r="J39" s="67"/>
      <c r="K39" s="67"/>
      <c r="L39" s="67"/>
      <c r="M39" s="67"/>
      <c r="P39" s="3" t="s">
        <v>155</v>
      </c>
    </row>
    <row r="40" spans="1:16" ht="17.5" x14ac:dyDescent="0.35">
      <c r="A40" s="67"/>
      <c r="B40" s="41" t="s">
        <v>31</v>
      </c>
      <c r="C40" s="42">
        <v>250</v>
      </c>
      <c r="D40" s="45" t="s">
        <v>32</v>
      </c>
      <c r="E40" s="44"/>
      <c r="F40" s="67"/>
      <c r="G40" s="67"/>
      <c r="H40" s="67"/>
      <c r="I40" s="67"/>
      <c r="J40" s="67"/>
      <c r="K40" s="67"/>
      <c r="L40" s="67"/>
      <c r="M40" s="67"/>
    </row>
    <row r="41" spans="1:16" ht="18" x14ac:dyDescent="0.4">
      <c r="A41" s="67"/>
      <c r="B41" s="21" t="s">
        <v>34</v>
      </c>
      <c r="C41" s="22">
        <f>SUM(C36,C32,C26,C23,C14)</f>
        <v>75125</v>
      </c>
      <c r="D41" s="23">
        <f>SUM(D14,D26,D32,D36,D23)</f>
        <v>45313.91</v>
      </c>
      <c r="E41" s="36">
        <f>D41/C41</f>
        <v>0.60318016638935112</v>
      </c>
      <c r="F41" s="67"/>
      <c r="G41" s="67"/>
      <c r="H41" s="67"/>
      <c r="I41" s="67"/>
      <c r="J41" s="67"/>
      <c r="K41" s="67"/>
      <c r="L41" s="67"/>
      <c r="M41" s="67"/>
    </row>
    <row r="42" spans="1:16" x14ac:dyDescent="0.35">
      <c r="A42" s="67"/>
      <c r="B42" s="67"/>
      <c r="C42" s="67"/>
      <c r="D42" s="67"/>
      <c r="E42" s="67"/>
      <c r="F42" s="67"/>
      <c r="G42" s="122"/>
      <c r="H42" s="67"/>
      <c r="I42" s="67"/>
      <c r="J42" s="67"/>
      <c r="K42" s="67"/>
      <c r="L42" s="67"/>
      <c r="M42" s="67"/>
    </row>
    <row r="43" spans="1:16" ht="18" x14ac:dyDescent="0.4">
      <c r="A43" s="67"/>
      <c r="B43" s="19" t="s">
        <v>223</v>
      </c>
      <c r="C43" s="30"/>
      <c r="D43" s="31"/>
      <c r="E43" s="67"/>
      <c r="F43" s="67"/>
      <c r="G43" s="67"/>
      <c r="H43" s="67"/>
      <c r="I43" s="67"/>
      <c r="J43" s="67"/>
      <c r="K43" s="67"/>
      <c r="L43" s="67"/>
      <c r="M43" s="67"/>
    </row>
    <row r="44" spans="1:16" ht="18" x14ac:dyDescent="0.4">
      <c r="A44" s="67"/>
      <c r="B44" s="24" t="s">
        <v>33</v>
      </c>
      <c r="C44" s="25"/>
      <c r="D44" s="26">
        <v>9863.26</v>
      </c>
      <c r="E44" s="67"/>
      <c r="F44" s="67"/>
      <c r="G44" s="67"/>
      <c r="H44" s="67"/>
      <c r="I44" s="67"/>
      <c r="J44" s="67"/>
      <c r="K44" s="67"/>
      <c r="L44" s="67"/>
      <c r="M44" s="67"/>
    </row>
    <row r="45" spans="1:16" ht="18" x14ac:dyDescent="0.4">
      <c r="A45" s="67"/>
      <c r="B45" s="27" t="s">
        <v>4</v>
      </c>
      <c r="C45" s="28"/>
      <c r="D45" s="29">
        <v>966.33</v>
      </c>
      <c r="E45" s="67"/>
      <c r="F45" s="67"/>
      <c r="G45" s="68"/>
      <c r="H45" s="67"/>
      <c r="I45" s="67"/>
      <c r="J45" s="67"/>
      <c r="K45" s="67"/>
      <c r="L45" s="67"/>
      <c r="M45" s="67"/>
    </row>
    <row r="46" spans="1:16" x14ac:dyDescent="0.3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6" x14ac:dyDescent="0.3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6" x14ac:dyDescent="0.35">
      <c r="A48" s="67"/>
      <c r="B48" s="68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1:13" x14ac:dyDescent="0.3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1:13" x14ac:dyDescent="0.3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1:13" x14ac:dyDescent="0.3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1:13" x14ac:dyDescent="0.3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x14ac:dyDescent="0.3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</sheetData>
  <sortState xmlns:xlrd2="http://schemas.microsoft.com/office/spreadsheetml/2017/richdata2" ref="G9:I13">
    <sortCondition descending="1" ref="I9:I1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xpenses"/>
  <dimension ref="A1:J89"/>
  <sheetViews>
    <sheetView workbookViewId="0">
      <selection activeCell="G4" sqref="G4"/>
    </sheetView>
  </sheetViews>
  <sheetFormatPr defaultColWidth="11.15234375" defaultRowHeight="15.5" x14ac:dyDescent="0.35"/>
  <cols>
    <col min="2" max="2" width="48.07421875" bestFit="1" customWidth="1"/>
    <col min="3" max="3" width="19.84375" customWidth="1"/>
    <col min="4" max="4" width="30.3828125" bestFit="1" customWidth="1"/>
    <col min="5" max="5" width="13.4609375" style="80" customWidth="1"/>
    <col min="7" max="7" width="19.23046875" customWidth="1"/>
    <col min="8" max="8" width="38.4609375" bestFit="1" customWidth="1"/>
  </cols>
  <sheetData>
    <row r="1" spans="1:8" x14ac:dyDescent="0.35">
      <c r="A1" s="1" t="s">
        <v>0</v>
      </c>
      <c r="B1" s="1" t="s">
        <v>137</v>
      </c>
      <c r="C1" s="2" t="s">
        <v>65</v>
      </c>
      <c r="D1" s="1" t="s">
        <v>1</v>
      </c>
      <c r="E1" s="79" t="s">
        <v>2</v>
      </c>
      <c r="F1" s="1"/>
    </row>
    <row r="2" spans="1:8" x14ac:dyDescent="0.35">
      <c r="A2" s="4">
        <v>45152</v>
      </c>
      <c r="B2" t="s">
        <v>124</v>
      </c>
      <c r="C2" s="3" t="str">
        <f>_xlfn.XLOOKUP(Table1[[#This Row],[Category]],$H$5:$H$32,$G$5:$G$32,FALSE)</f>
        <v>Income</v>
      </c>
      <c r="D2" t="s">
        <v>35</v>
      </c>
      <c r="E2">
        <v>28.16</v>
      </c>
      <c r="F2" s="1"/>
    </row>
    <row r="3" spans="1:8" x14ac:dyDescent="0.35">
      <c r="A3" s="4">
        <v>45167</v>
      </c>
      <c r="B3" t="s">
        <v>135</v>
      </c>
      <c r="C3" s="3" t="str">
        <f>_xlfn.XLOOKUP(Table1[[#This Row],[Category]],$H$5:$H$32,$G$5:$G$32,FALSE)</f>
        <v xml:space="preserve">Teacher </v>
      </c>
      <c r="D3" t="s">
        <v>27</v>
      </c>
      <c r="E3">
        <v>-207.6</v>
      </c>
      <c r="F3" s="1"/>
    </row>
    <row r="4" spans="1:8" x14ac:dyDescent="0.35">
      <c r="A4" s="4">
        <v>45167</v>
      </c>
      <c r="B4" t="s">
        <v>136</v>
      </c>
      <c r="C4" s="3" t="str">
        <f>_xlfn.XLOOKUP(Table1[[#This Row],[Category]],$H$5:$H$32,$G$5:$G$32,FALSE)</f>
        <v xml:space="preserve">Teacher </v>
      </c>
      <c r="D4" t="s">
        <v>7</v>
      </c>
      <c r="E4">
        <v>-57.79</v>
      </c>
      <c r="F4" s="1"/>
    </row>
    <row r="5" spans="1:8" x14ac:dyDescent="0.35">
      <c r="A5" s="4">
        <v>45536</v>
      </c>
      <c r="B5" s="3" t="s">
        <v>158</v>
      </c>
      <c r="C5" s="3" t="str">
        <f>_xlfn.XLOOKUP(Table1[[#This Row],[Category]],$H$3:$H$30,$G$3:$G$30,FALSE)</f>
        <v>Income</v>
      </c>
      <c r="D5" s="3" t="s">
        <v>5</v>
      </c>
      <c r="E5" s="103">
        <v>150</v>
      </c>
      <c r="F5" s="1"/>
      <c r="G5" t="s">
        <v>44</v>
      </c>
      <c r="H5" t="s">
        <v>5</v>
      </c>
    </row>
    <row r="6" spans="1:8" x14ac:dyDescent="0.35">
      <c r="A6" s="4">
        <v>45170</v>
      </c>
      <c r="B6" s="3" t="s">
        <v>159</v>
      </c>
      <c r="C6" s="3" t="str">
        <f>_xlfn.XLOOKUP(Table1[[#This Row],[Category]],$H$5:$H$32,$G$5:$G$32,FALSE)</f>
        <v>Income</v>
      </c>
      <c r="D6" t="s">
        <v>14</v>
      </c>
      <c r="E6">
        <v>1657.1</v>
      </c>
      <c r="F6" s="1"/>
      <c r="G6" t="s">
        <v>44</v>
      </c>
      <c r="H6" t="s">
        <v>12</v>
      </c>
    </row>
    <row r="7" spans="1:8" x14ac:dyDescent="0.35">
      <c r="A7" s="4">
        <v>45182</v>
      </c>
      <c r="B7" t="s">
        <v>124</v>
      </c>
      <c r="C7" s="3" t="str">
        <f>_xlfn.XLOOKUP(Table1[[#This Row],[Category]],$H$5:$H$32,$G$5:$G$32,FALSE)</f>
        <v xml:space="preserve">Teacher </v>
      </c>
      <c r="D7" t="s">
        <v>7</v>
      </c>
      <c r="E7">
        <v>14.08</v>
      </c>
      <c r="F7" s="1"/>
      <c r="G7" t="s">
        <v>44</v>
      </c>
      <c r="H7" t="s">
        <v>13</v>
      </c>
    </row>
    <row r="8" spans="1:8" x14ac:dyDescent="0.35">
      <c r="A8" s="4">
        <v>45194</v>
      </c>
      <c r="B8" t="s">
        <v>134</v>
      </c>
      <c r="C8" s="3" t="str">
        <f>_xlfn.XLOOKUP(Table1[[#This Row],[Category]],$H$5:$H$32,$G$5:$G$32,FALSE)</f>
        <v xml:space="preserve">Teacher </v>
      </c>
      <c r="D8" t="s">
        <v>8</v>
      </c>
      <c r="E8">
        <v>-193.38</v>
      </c>
      <c r="F8" s="1"/>
    </row>
    <row r="9" spans="1:8" x14ac:dyDescent="0.35">
      <c r="A9" s="4">
        <v>45203</v>
      </c>
      <c r="B9" t="s">
        <v>132</v>
      </c>
      <c r="C9" s="3" t="str">
        <f>_xlfn.XLOOKUP(Table1[[#This Row],[Category]],$H$5:$H$32,$G$5:$G$32,FALSE)</f>
        <v>Income</v>
      </c>
      <c r="D9" t="s">
        <v>35</v>
      </c>
      <c r="E9">
        <v>1211.1199999999999</v>
      </c>
      <c r="F9" s="1"/>
      <c r="G9" t="s">
        <v>44</v>
      </c>
      <c r="H9" t="s">
        <v>14</v>
      </c>
    </row>
    <row r="10" spans="1:8" x14ac:dyDescent="0.35">
      <c r="A10" s="4">
        <v>45203</v>
      </c>
      <c r="B10" t="s">
        <v>133</v>
      </c>
      <c r="C10" s="3" t="str">
        <f>_xlfn.XLOOKUP(Table1[[#This Row],[Category]],$H$5:$H$32,$G$5:$G$32,FALSE)</f>
        <v>PTO Operating</v>
      </c>
      <c r="D10" t="s">
        <v>20</v>
      </c>
      <c r="E10">
        <v>-200</v>
      </c>
      <c r="F10" s="1"/>
      <c r="G10" t="s">
        <v>44</v>
      </c>
      <c r="H10" t="s">
        <v>35</v>
      </c>
    </row>
    <row r="11" spans="1:8" x14ac:dyDescent="0.35">
      <c r="A11" s="4">
        <v>45212</v>
      </c>
      <c r="B11" s="3" t="s">
        <v>160</v>
      </c>
      <c r="C11" s="3" t="str">
        <f>_xlfn.XLOOKUP(Table1[[#This Row],[Category]],$H$3:$H$30,$G$3:$G$30,FALSE)</f>
        <v>Income</v>
      </c>
      <c r="D11" s="3" t="s">
        <v>35</v>
      </c>
      <c r="E11" s="103">
        <v>400</v>
      </c>
      <c r="F11" s="1"/>
      <c r="G11" t="s">
        <v>6</v>
      </c>
      <c r="H11" t="s">
        <v>9</v>
      </c>
    </row>
    <row r="12" spans="1:8" x14ac:dyDescent="0.35">
      <c r="A12" s="4">
        <v>45212</v>
      </c>
      <c r="B12" s="3" t="s">
        <v>161</v>
      </c>
      <c r="C12" s="3" t="str">
        <f>_xlfn.XLOOKUP(Table1[[#This Row],[Category]],$H$3:$H$30,$G$3:$G$30,FALSE)</f>
        <v>Income</v>
      </c>
      <c r="D12" s="3" t="s">
        <v>13</v>
      </c>
      <c r="E12" s="103">
        <v>313.55</v>
      </c>
      <c r="F12" s="1"/>
      <c r="G12" t="s">
        <v>6</v>
      </c>
      <c r="H12" t="s">
        <v>10</v>
      </c>
    </row>
    <row r="13" spans="1:8" x14ac:dyDescent="0.35">
      <c r="A13" s="4">
        <v>45212</v>
      </c>
      <c r="B13" s="3" t="s">
        <v>162</v>
      </c>
      <c r="C13" s="3" t="str">
        <f>_xlfn.XLOOKUP(Table1[[#This Row],[Category]],$H$5:$H$32,$G$5:$G$32,FALSE)</f>
        <v>Income</v>
      </c>
      <c r="D13" t="s">
        <v>13</v>
      </c>
      <c r="E13">
        <v>109.71</v>
      </c>
      <c r="F13" s="1"/>
      <c r="G13" t="s">
        <v>6</v>
      </c>
      <c r="H13" t="s">
        <v>18</v>
      </c>
    </row>
    <row r="14" spans="1:8" x14ac:dyDescent="0.35">
      <c r="A14" s="4">
        <v>45224</v>
      </c>
      <c r="B14" t="s">
        <v>131</v>
      </c>
      <c r="C14" s="3" t="str">
        <f>_xlfn.XLOOKUP(Table1[[#This Row],[Category]],$H$5:$H$32,$G$5:$G$32,FALSE)</f>
        <v xml:space="preserve">Teacher </v>
      </c>
      <c r="D14" t="s">
        <v>7</v>
      </c>
      <c r="E14">
        <v>-100</v>
      </c>
      <c r="F14" s="1"/>
      <c r="G14" t="s">
        <v>6</v>
      </c>
      <c r="H14" t="s">
        <v>54</v>
      </c>
    </row>
    <row r="15" spans="1:8" x14ac:dyDescent="0.35">
      <c r="A15" s="4">
        <v>45225</v>
      </c>
      <c r="B15" t="s">
        <v>129</v>
      </c>
      <c r="C15" s="3" t="str">
        <f>_xlfn.XLOOKUP(Table1[[#This Row],[Category]],$H$5:$H$32,$G$5:$G$32,FALSE)</f>
        <v xml:space="preserve">Teacher </v>
      </c>
      <c r="D15" t="s">
        <v>7</v>
      </c>
      <c r="E15">
        <v>-82.38</v>
      </c>
      <c r="F15" s="1"/>
      <c r="G15" t="s">
        <v>6</v>
      </c>
      <c r="H15" t="s">
        <v>19</v>
      </c>
    </row>
    <row r="16" spans="1:8" x14ac:dyDescent="0.35">
      <c r="A16" s="4">
        <v>45225</v>
      </c>
      <c r="B16" t="s">
        <v>130</v>
      </c>
      <c r="C16" s="3" t="str">
        <f>_xlfn.XLOOKUP(Table1[[#This Row],[Category]],$H$5:$H$32,$G$5:$G$32,FALSE)</f>
        <v xml:space="preserve">Teacher </v>
      </c>
      <c r="D16" t="s">
        <v>7</v>
      </c>
      <c r="E16">
        <v>-42.32</v>
      </c>
      <c r="F16" s="1"/>
      <c r="G16" t="s">
        <v>6</v>
      </c>
      <c r="H16" t="s">
        <v>20</v>
      </c>
    </row>
    <row r="17" spans="1:8" x14ac:dyDescent="0.35">
      <c r="A17" s="4">
        <v>45226</v>
      </c>
      <c r="B17" t="s">
        <v>125</v>
      </c>
      <c r="C17" s="3" t="str">
        <f>_xlfn.XLOOKUP(Table1[[#This Row],[Category]],$H$5:$H$32,$G$5:$G$32,FALSE)</f>
        <v xml:space="preserve">Teacher </v>
      </c>
      <c r="D17" t="s">
        <v>7</v>
      </c>
      <c r="E17">
        <v>-100</v>
      </c>
      <c r="F17" s="1" t="s">
        <v>3</v>
      </c>
      <c r="G17" t="s">
        <v>6</v>
      </c>
      <c r="H17" t="s">
        <v>21</v>
      </c>
    </row>
    <row r="18" spans="1:8" x14ac:dyDescent="0.35">
      <c r="A18" s="4">
        <v>45226</v>
      </c>
      <c r="B18" t="s">
        <v>126</v>
      </c>
      <c r="C18" s="3" t="str">
        <f>_xlfn.XLOOKUP(Table1[[#This Row],[Category]],$H$5:$H$32,$G$5:$G$32,FALSE)</f>
        <v xml:space="preserve">Teacher </v>
      </c>
      <c r="D18" t="s">
        <v>7</v>
      </c>
      <c r="E18">
        <v>-100</v>
      </c>
      <c r="F18" s="1" t="s">
        <v>3</v>
      </c>
      <c r="G18" t="s">
        <v>22</v>
      </c>
      <c r="H18" s="3" t="s">
        <v>148</v>
      </c>
    </row>
    <row r="19" spans="1:8" x14ac:dyDescent="0.35">
      <c r="A19" s="4">
        <v>45226</v>
      </c>
      <c r="B19" t="s">
        <v>127</v>
      </c>
      <c r="C19" s="3" t="str">
        <f>_xlfn.XLOOKUP(Table1[[#This Row],[Category]],$H$5:$H$32,$G$5:$G$32,FALSE)</f>
        <v xml:space="preserve">Teacher </v>
      </c>
      <c r="D19" t="s">
        <v>7</v>
      </c>
      <c r="E19">
        <v>-100</v>
      </c>
      <c r="F19" s="1" t="s">
        <v>3</v>
      </c>
      <c r="G19" t="s">
        <v>22</v>
      </c>
      <c r="H19" t="s">
        <v>41</v>
      </c>
    </row>
    <row r="20" spans="1:8" x14ac:dyDescent="0.35">
      <c r="A20" s="4">
        <v>45226</v>
      </c>
      <c r="B20" t="s">
        <v>128</v>
      </c>
      <c r="C20" s="3" t="str">
        <f>_xlfn.XLOOKUP(Table1[[#This Row],[Category]],$H$5:$H$32,$G$5:$G$32,FALSE)</f>
        <v xml:space="preserve">Teacher </v>
      </c>
      <c r="D20" t="s">
        <v>7</v>
      </c>
      <c r="E20">
        <v>-99.12</v>
      </c>
      <c r="F20" s="1" t="s">
        <v>3</v>
      </c>
      <c r="G20" s="3" t="s">
        <v>66</v>
      </c>
      <c r="H20" t="s">
        <v>8</v>
      </c>
    </row>
    <row r="21" spans="1:8" x14ac:dyDescent="0.35">
      <c r="A21" s="4">
        <v>45229</v>
      </c>
      <c r="B21" t="s">
        <v>122</v>
      </c>
      <c r="C21" s="3" t="str">
        <f>_xlfn.XLOOKUP(Table1[[#This Row],[Category]],$H$5:$H$32,$G$5:$G$32,FALSE)</f>
        <v xml:space="preserve">Teacher </v>
      </c>
      <c r="D21" t="s">
        <v>7</v>
      </c>
      <c r="E21">
        <v>-100</v>
      </c>
      <c r="F21" t="s">
        <v>3</v>
      </c>
      <c r="G21" s="3" t="s">
        <v>66</v>
      </c>
      <c r="H21" t="s">
        <v>7</v>
      </c>
    </row>
    <row r="22" spans="1:8" x14ac:dyDescent="0.35">
      <c r="A22" s="4">
        <v>45229</v>
      </c>
      <c r="B22" t="s">
        <v>123</v>
      </c>
      <c r="C22" s="3" t="str">
        <f>_xlfn.XLOOKUP(Table1[[#This Row],[Category]],$H$5:$H$32,$G$5:$G$32,FALSE)</f>
        <v xml:space="preserve">Teacher </v>
      </c>
      <c r="D22" t="s">
        <v>7</v>
      </c>
      <c r="E22">
        <v>-99.11</v>
      </c>
      <c r="F22" t="s">
        <v>3</v>
      </c>
      <c r="G22" s="3" t="s">
        <v>66</v>
      </c>
      <c r="H22" t="s">
        <v>23</v>
      </c>
    </row>
    <row r="23" spans="1:8" x14ac:dyDescent="0.35">
      <c r="A23" s="4">
        <v>45229</v>
      </c>
      <c r="B23" t="s">
        <v>124</v>
      </c>
      <c r="C23" s="3" t="str">
        <f>_xlfn.XLOOKUP(Table1[[#This Row],[Category]],$H$5:$H$32,$G$5:$G$32,FALSE)</f>
        <v>Income</v>
      </c>
      <c r="D23" t="s">
        <v>35</v>
      </c>
      <c r="E23">
        <v>838.04</v>
      </c>
      <c r="F23" t="s">
        <v>3</v>
      </c>
      <c r="G23" s="3" t="s">
        <v>66</v>
      </c>
      <c r="H23" t="s">
        <v>24</v>
      </c>
    </row>
    <row r="24" spans="1:8" x14ac:dyDescent="0.35">
      <c r="A24" s="4">
        <v>45236</v>
      </c>
      <c r="B24" t="s">
        <v>121</v>
      </c>
      <c r="C24" s="3" t="str">
        <f>_xlfn.XLOOKUP(Table1[[#This Row],[Category]],$H$5:$H$32,$G$5:$G$32,FALSE)</f>
        <v>Student</v>
      </c>
      <c r="D24" t="s">
        <v>26</v>
      </c>
      <c r="E24">
        <v>-371</v>
      </c>
      <c r="F24" t="s">
        <v>3</v>
      </c>
      <c r="G24" s="3" t="s">
        <v>66</v>
      </c>
      <c r="H24" t="s">
        <v>27</v>
      </c>
    </row>
    <row r="25" spans="1:8" x14ac:dyDescent="0.35">
      <c r="A25" s="4">
        <v>45240</v>
      </c>
      <c r="B25" t="s">
        <v>152</v>
      </c>
      <c r="C25" s="3" t="str">
        <f>_xlfn.XLOOKUP(Table1[[#This Row],[Category]],$H$5:$H$32,$G$5:$G$32,FALSE)</f>
        <v>Income</v>
      </c>
      <c r="D25" t="s">
        <v>5</v>
      </c>
      <c r="E25">
        <v>17531.84</v>
      </c>
      <c r="F25" t="s">
        <v>3</v>
      </c>
      <c r="G25" t="s">
        <v>51</v>
      </c>
      <c r="H25" t="s">
        <v>25</v>
      </c>
    </row>
    <row r="26" spans="1:8" x14ac:dyDescent="0.35">
      <c r="A26" s="4">
        <v>45243</v>
      </c>
      <c r="B26" t="s">
        <v>119</v>
      </c>
      <c r="C26" s="3" t="str">
        <f>_xlfn.XLOOKUP(Table1[[#This Row],[Category]],$H$5:$H$32,$G$5:$G$32,FALSE)</f>
        <v>PTO Operating</v>
      </c>
      <c r="D26" t="s">
        <v>54</v>
      </c>
      <c r="E26">
        <v>-209.52</v>
      </c>
      <c r="F26" t="s">
        <v>3</v>
      </c>
      <c r="G26" t="s">
        <v>51</v>
      </c>
      <c r="H26" t="s">
        <v>26</v>
      </c>
    </row>
    <row r="27" spans="1:8" x14ac:dyDescent="0.35">
      <c r="A27" s="4">
        <v>45243</v>
      </c>
      <c r="B27" t="s">
        <v>120</v>
      </c>
      <c r="C27" s="3" t="str">
        <f>_xlfn.XLOOKUP(Table1[[#This Row],[Category]],$H$5:$H$32,$G$5:$G$32,FALSE)</f>
        <v xml:space="preserve">Teacher </v>
      </c>
      <c r="D27" t="s">
        <v>7</v>
      </c>
      <c r="E27">
        <v>-37.81</v>
      </c>
      <c r="F27" t="s">
        <v>3</v>
      </c>
      <c r="G27" t="s">
        <v>51</v>
      </c>
      <c r="H27" t="s">
        <v>39</v>
      </c>
    </row>
    <row r="28" spans="1:8" x14ac:dyDescent="0.35">
      <c r="A28" s="4">
        <v>45244</v>
      </c>
      <c r="B28" t="s">
        <v>116</v>
      </c>
      <c r="C28" s="3" t="str">
        <f>_xlfn.XLOOKUP(Table1[[#This Row],[Category]],$H$5:$H$32,$G$5:$G$32,FALSE)</f>
        <v xml:space="preserve">Teacher </v>
      </c>
      <c r="D28" t="s">
        <v>7</v>
      </c>
      <c r="E28">
        <v>-99.26</v>
      </c>
      <c r="F28" t="s">
        <v>3</v>
      </c>
      <c r="G28" t="s">
        <v>51</v>
      </c>
      <c r="H28" t="s">
        <v>37</v>
      </c>
    </row>
    <row r="29" spans="1:8" x14ac:dyDescent="0.35">
      <c r="A29" s="4">
        <v>45244</v>
      </c>
      <c r="B29" t="s">
        <v>117</v>
      </c>
      <c r="C29" s="3" t="str">
        <f>_xlfn.XLOOKUP(Table1[[#This Row],[Category]],$H$5:$H$32,$G$5:$G$32,FALSE)</f>
        <v xml:space="preserve">Teacher </v>
      </c>
      <c r="D29" t="s">
        <v>7</v>
      </c>
      <c r="E29">
        <v>-95.18</v>
      </c>
      <c r="F29" t="s">
        <v>3</v>
      </c>
      <c r="G29" t="s">
        <v>46</v>
      </c>
      <c r="H29" t="s">
        <v>36</v>
      </c>
    </row>
    <row r="30" spans="1:8" x14ac:dyDescent="0.35">
      <c r="A30" s="4">
        <v>45244</v>
      </c>
      <c r="B30" t="s">
        <v>118</v>
      </c>
      <c r="C30" s="3" t="str">
        <f>_xlfn.XLOOKUP(Table1[[#This Row],[Category]],$H$5:$H$32,$G$5:$G$32,FALSE)</f>
        <v xml:space="preserve">Teacher </v>
      </c>
      <c r="D30" t="s">
        <v>7</v>
      </c>
      <c r="E30">
        <v>-94.64</v>
      </c>
      <c r="F30" t="s">
        <v>3</v>
      </c>
      <c r="G30" t="s">
        <v>46</v>
      </c>
      <c r="H30" t="s">
        <v>29</v>
      </c>
    </row>
    <row r="31" spans="1:8" x14ac:dyDescent="0.35">
      <c r="A31" s="4">
        <v>45245</v>
      </c>
      <c r="B31" t="s">
        <v>115</v>
      </c>
      <c r="C31" s="3" t="str">
        <f>_xlfn.XLOOKUP(Table1[[#This Row],[Category]],$H$5:$H$32,$G$5:$G$32,FALSE)</f>
        <v xml:space="preserve">Teacher </v>
      </c>
      <c r="D31" t="s">
        <v>7</v>
      </c>
      <c r="E31">
        <v>-100</v>
      </c>
      <c r="F31" t="s">
        <v>3</v>
      </c>
      <c r="G31" t="s">
        <v>46</v>
      </c>
      <c r="H31" t="s">
        <v>30</v>
      </c>
    </row>
    <row r="32" spans="1:8" x14ac:dyDescent="0.35">
      <c r="A32" s="4">
        <v>45246</v>
      </c>
      <c r="B32" t="s">
        <v>114</v>
      </c>
      <c r="C32" s="3" t="str">
        <f>_xlfn.XLOOKUP(Table1[[#This Row],[Category]],$H$5:$H$32,$G$5:$G$32,FALSE)</f>
        <v xml:space="preserve">Teacher </v>
      </c>
      <c r="D32" t="s">
        <v>7</v>
      </c>
      <c r="E32">
        <v>-96.18</v>
      </c>
      <c r="F32" t="s">
        <v>3</v>
      </c>
      <c r="G32" t="s">
        <v>46</v>
      </c>
      <c r="H32" t="s">
        <v>31</v>
      </c>
    </row>
    <row r="33" spans="1:10" x14ac:dyDescent="0.35">
      <c r="A33" s="4">
        <v>45250</v>
      </c>
      <c r="B33" t="s">
        <v>112</v>
      </c>
      <c r="C33" s="3" t="str">
        <f>_xlfn.XLOOKUP(Table1[[#This Row],[Category]],$H$5:$H$32,$G$5:$G$32,FALSE)</f>
        <v xml:space="preserve">Teacher </v>
      </c>
      <c r="D33" t="s">
        <v>7</v>
      </c>
      <c r="E33">
        <v>-100</v>
      </c>
      <c r="F33" t="s">
        <v>3</v>
      </c>
    </row>
    <row r="34" spans="1:10" x14ac:dyDescent="0.35">
      <c r="A34" s="4">
        <v>45250</v>
      </c>
      <c r="B34" t="s">
        <v>113</v>
      </c>
      <c r="C34" s="3" t="str">
        <f>_xlfn.XLOOKUP(Table1[[#This Row],[Category]],$H$5:$H$32,$G$5:$G$32,FALSE)</f>
        <v xml:space="preserve">Teacher </v>
      </c>
      <c r="D34" t="s">
        <v>7</v>
      </c>
      <c r="E34">
        <v>-27.28</v>
      </c>
      <c r="F34" t="s">
        <v>3</v>
      </c>
      <c r="G34" s="110" t="s">
        <v>173</v>
      </c>
    </row>
    <row r="35" spans="1:10" x14ac:dyDescent="0.35">
      <c r="A35" s="4">
        <v>45251</v>
      </c>
      <c r="B35" t="s">
        <v>111</v>
      </c>
      <c r="C35" s="3" t="str">
        <f>_xlfn.XLOOKUP(Table1[[#This Row],[Category]],$H$5:$H$32,$G$5:$G$32,FALSE)</f>
        <v xml:space="preserve">Teacher </v>
      </c>
      <c r="D35" t="s">
        <v>7</v>
      </c>
      <c r="E35">
        <v>-95</v>
      </c>
      <c r="F35" t="s">
        <v>3</v>
      </c>
      <c r="G35" s="109" t="s">
        <v>0</v>
      </c>
      <c r="H35" s="109"/>
      <c r="I35" s="109" t="s">
        <v>151</v>
      </c>
    </row>
    <row r="36" spans="1:10" x14ac:dyDescent="0.35">
      <c r="A36" s="4">
        <v>45257</v>
      </c>
      <c r="B36" t="s">
        <v>110</v>
      </c>
      <c r="C36" s="3" t="str">
        <f>_xlfn.XLOOKUP(Table1[[#This Row],[Category]],$H$5:$H$32,$G$5:$G$32,FALSE)</f>
        <v xml:space="preserve">Teacher </v>
      </c>
      <c r="D36" t="s">
        <v>7</v>
      </c>
      <c r="E36">
        <v>-92.44</v>
      </c>
      <c r="F36" t="s">
        <v>3</v>
      </c>
      <c r="G36" s="97">
        <v>45170</v>
      </c>
      <c r="H36" s="98" t="s">
        <v>82</v>
      </c>
      <c r="I36" s="101">
        <v>1807.1</v>
      </c>
      <c r="J36" s="100">
        <f>SUM(E5:E6)</f>
        <v>1807.1</v>
      </c>
    </row>
    <row r="37" spans="1:10" x14ac:dyDescent="0.35">
      <c r="A37" s="4">
        <v>45264</v>
      </c>
      <c r="B37" t="s">
        <v>108</v>
      </c>
      <c r="C37" s="3" t="str">
        <f>_xlfn.XLOOKUP(Table1[[#This Row],[Category]],$H$5:$H$32,$G$5:$G$32,FALSE)</f>
        <v xml:space="preserve">Teacher </v>
      </c>
      <c r="D37" t="s">
        <v>7</v>
      </c>
      <c r="E37">
        <v>-100</v>
      </c>
      <c r="F37" t="s">
        <v>3</v>
      </c>
      <c r="H37" s="86" t="s">
        <v>158</v>
      </c>
      <c r="I37" s="99">
        <v>150</v>
      </c>
      <c r="J37" s="3" t="s">
        <v>168</v>
      </c>
    </row>
    <row r="38" spans="1:10" x14ac:dyDescent="0.35">
      <c r="A38" s="4">
        <v>45264</v>
      </c>
      <c r="B38" t="s">
        <v>109</v>
      </c>
      <c r="C38" s="3" t="str">
        <f>_xlfn.XLOOKUP(Table1[[#This Row],[Category]],$H$5:$H$32,$G$5:$G$32,FALSE)</f>
        <v xml:space="preserve">Teacher </v>
      </c>
      <c r="D38" t="s">
        <v>7</v>
      </c>
      <c r="E38">
        <v>-65.95</v>
      </c>
      <c r="F38" t="s">
        <v>3</v>
      </c>
      <c r="H38" s="86" t="s">
        <v>159</v>
      </c>
      <c r="I38" s="99">
        <v>1657.1</v>
      </c>
      <c r="J38" s="3" t="s">
        <v>168</v>
      </c>
    </row>
    <row r="39" spans="1:10" x14ac:dyDescent="0.35">
      <c r="A39" s="4">
        <v>45268</v>
      </c>
      <c r="B39" t="s">
        <v>106</v>
      </c>
      <c r="C39" s="3" t="str">
        <f>_xlfn.XLOOKUP(Table1[[#This Row],[Category]],$H$5:$H$32,$G$5:$G$32,FALSE)</f>
        <v xml:space="preserve">Teacher </v>
      </c>
      <c r="D39" s="2" t="s">
        <v>7</v>
      </c>
      <c r="E39">
        <v>-99.6</v>
      </c>
      <c r="F39" t="s">
        <v>3</v>
      </c>
      <c r="H39" s="86"/>
      <c r="I39" s="99"/>
    </row>
    <row r="40" spans="1:10" x14ac:dyDescent="0.35">
      <c r="A40" s="4">
        <v>45268</v>
      </c>
      <c r="B40" t="s">
        <v>107</v>
      </c>
      <c r="C40" s="3" t="str">
        <f>_xlfn.XLOOKUP(Table1[[#This Row],[Category]],$H$5:$H$32,$G$5:$G$32,FALSE)</f>
        <v xml:space="preserve">Teacher </v>
      </c>
      <c r="D40" s="2" t="s">
        <v>7</v>
      </c>
      <c r="E40">
        <v>-52.99</v>
      </c>
      <c r="F40" t="s">
        <v>3</v>
      </c>
      <c r="G40" s="97">
        <v>45212</v>
      </c>
      <c r="H40" s="98" t="s">
        <v>82</v>
      </c>
      <c r="I40" s="98">
        <v>823.26</v>
      </c>
      <c r="J40" s="100">
        <f>SUM(E11:E13)</f>
        <v>823.26</v>
      </c>
    </row>
    <row r="41" spans="1:10" x14ac:dyDescent="0.35">
      <c r="A41" s="4">
        <v>45272</v>
      </c>
      <c r="B41" t="s">
        <v>105</v>
      </c>
      <c r="C41" s="3" t="str">
        <f>_xlfn.XLOOKUP(Table1[[#This Row],[Category]],$H$5:$H$32,$G$5:$G$32,FALSE)</f>
        <v xml:space="preserve">Teacher </v>
      </c>
      <c r="D41" s="2" t="s">
        <v>7</v>
      </c>
      <c r="E41">
        <v>-82.84</v>
      </c>
      <c r="F41" t="s">
        <v>3</v>
      </c>
      <c r="H41" s="86" t="s">
        <v>160</v>
      </c>
      <c r="I41" s="99">
        <v>400</v>
      </c>
      <c r="J41" s="3" t="s">
        <v>168</v>
      </c>
    </row>
    <row r="42" spans="1:10" x14ac:dyDescent="0.35">
      <c r="A42" s="4">
        <v>45273</v>
      </c>
      <c r="B42" t="s">
        <v>103</v>
      </c>
      <c r="C42" s="3" t="str">
        <f>_xlfn.XLOOKUP(Table1[[#This Row],[Category]],$H$5:$H$32,$G$5:$G$32,FALSE)</f>
        <v xml:space="preserve">Teacher </v>
      </c>
      <c r="D42" s="2" t="s">
        <v>7</v>
      </c>
      <c r="E42">
        <v>-100</v>
      </c>
      <c r="F42" t="s">
        <v>3</v>
      </c>
      <c r="H42" s="86" t="s">
        <v>161</v>
      </c>
      <c r="I42" s="99">
        <v>313.55</v>
      </c>
      <c r="J42" s="3" t="s">
        <v>168</v>
      </c>
    </row>
    <row r="43" spans="1:10" x14ac:dyDescent="0.35">
      <c r="A43" s="4">
        <v>45273</v>
      </c>
      <c r="B43" t="s">
        <v>104</v>
      </c>
      <c r="C43" s="3" t="str">
        <f>_xlfn.XLOOKUP(Table1[[#This Row],[Category]],$H$5:$H$32,$G$5:$G$32,FALSE)</f>
        <v xml:space="preserve">Teacher </v>
      </c>
      <c r="D43" s="2" t="s">
        <v>7</v>
      </c>
      <c r="E43">
        <v>-100</v>
      </c>
      <c r="F43" t="s">
        <v>3</v>
      </c>
      <c r="H43" s="86" t="s">
        <v>162</v>
      </c>
      <c r="I43" s="99">
        <v>109.71</v>
      </c>
      <c r="J43" s="3" t="s">
        <v>168</v>
      </c>
    </row>
    <row r="44" spans="1:10" x14ac:dyDescent="0.35">
      <c r="A44" s="4">
        <v>45275</v>
      </c>
      <c r="B44" t="s">
        <v>102</v>
      </c>
      <c r="C44" s="3" t="str">
        <f>_xlfn.XLOOKUP(Table1[[#This Row],[Category]],$H$5:$H$32,$G$5:$G$32,FALSE)</f>
        <v xml:space="preserve">Teacher </v>
      </c>
      <c r="D44" s="2" t="s">
        <v>7</v>
      </c>
      <c r="E44">
        <v>-100</v>
      </c>
      <c r="F44" s="1" t="s">
        <v>3</v>
      </c>
    </row>
    <row r="45" spans="1:10" x14ac:dyDescent="0.35">
      <c r="A45" s="4">
        <v>45278</v>
      </c>
      <c r="B45" t="s">
        <v>101</v>
      </c>
      <c r="C45" s="3" t="str">
        <f>_xlfn.XLOOKUP(Table1[[#This Row],[Category]],$H$5:$H$32,$G$5:$G$32,FALSE)</f>
        <v xml:space="preserve">Teacher </v>
      </c>
      <c r="D45" s="2" t="s">
        <v>7</v>
      </c>
      <c r="E45">
        <v>-96.48</v>
      </c>
      <c r="F45" s="1" t="s">
        <v>3</v>
      </c>
      <c r="G45" s="97">
        <v>45331</v>
      </c>
      <c r="H45" s="98" t="s">
        <v>82</v>
      </c>
      <c r="I45" s="98">
        <v>4725.58</v>
      </c>
      <c r="J45" s="100">
        <f>SUM(E54:E56)</f>
        <v>4725.58</v>
      </c>
    </row>
    <row r="46" spans="1:10" x14ac:dyDescent="0.35">
      <c r="A46" s="4">
        <v>45281</v>
      </c>
      <c r="B46" t="s">
        <v>99</v>
      </c>
      <c r="C46" s="3" t="str">
        <f>_xlfn.XLOOKUP(Table1[[#This Row],[Category]],$H$5:$H$32,$G$5:$G$32,FALSE)</f>
        <v>PTO Operating</v>
      </c>
      <c r="D46" s="2" t="s">
        <v>9</v>
      </c>
      <c r="E46">
        <v>-1500</v>
      </c>
      <c r="F46" s="1" t="s">
        <v>3</v>
      </c>
      <c r="H46" s="86" t="s">
        <v>163</v>
      </c>
      <c r="I46" s="99">
        <v>40.4</v>
      </c>
      <c r="J46" s="3" t="s">
        <v>168</v>
      </c>
    </row>
    <row r="47" spans="1:10" x14ac:dyDescent="0.35">
      <c r="A47" s="4">
        <v>45281</v>
      </c>
      <c r="B47" t="s">
        <v>100</v>
      </c>
      <c r="C47" s="3" t="str">
        <f>_xlfn.XLOOKUP(Table1[[#This Row],[Category]],$H$5:$H$32,$G$5:$G$32,FALSE)</f>
        <v xml:space="preserve">Teacher </v>
      </c>
      <c r="D47" s="2" t="s">
        <v>7</v>
      </c>
      <c r="E47">
        <v>-90.8</v>
      </c>
      <c r="F47" s="1" t="s">
        <v>3</v>
      </c>
      <c r="H47" s="86" t="s">
        <v>159</v>
      </c>
      <c r="I47" s="99">
        <v>1602.93</v>
      </c>
      <c r="J47" s="3" t="s">
        <v>168</v>
      </c>
    </row>
    <row r="48" spans="1:10" x14ac:dyDescent="0.35">
      <c r="A48" s="4">
        <v>45286</v>
      </c>
      <c r="B48" t="s">
        <v>98</v>
      </c>
      <c r="C48" s="3" t="str">
        <f>_xlfn.XLOOKUP(Table1[[#This Row],[Category]],$H$5:$H$32,$G$5:$G$32,FALSE)</f>
        <v xml:space="preserve">Teacher </v>
      </c>
      <c r="D48" s="2" t="s">
        <v>8</v>
      </c>
      <c r="E48">
        <v>-1126.55</v>
      </c>
      <c r="H48" s="86" t="s">
        <v>164</v>
      </c>
      <c r="I48" s="102">
        <v>3082.25</v>
      </c>
      <c r="J48" s="3" t="s">
        <v>168</v>
      </c>
    </row>
    <row r="49" spans="1:10" x14ac:dyDescent="0.35">
      <c r="A49" s="4">
        <v>45287</v>
      </c>
      <c r="B49" t="s">
        <v>97</v>
      </c>
      <c r="C49" s="3" t="str">
        <f>_xlfn.XLOOKUP(Table1[[#This Row],[Category]],$H$5:$H$32,$G$5:$G$32,FALSE)</f>
        <v xml:space="preserve">Teacher </v>
      </c>
      <c r="D49" s="2" t="s">
        <v>7</v>
      </c>
      <c r="E49">
        <v>-73.09</v>
      </c>
    </row>
    <row r="50" spans="1:10" x14ac:dyDescent="0.35">
      <c r="A50" s="4">
        <v>45289</v>
      </c>
      <c r="B50" t="s">
        <v>96</v>
      </c>
      <c r="C50" s="3" t="str">
        <f>_xlfn.XLOOKUP(Table1[[#This Row],[Category]],$H$5:$H$32,$G$5:$G$32,FALSE)</f>
        <v>District</v>
      </c>
      <c r="D50" s="2" t="s">
        <v>29</v>
      </c>
      <c r="E50">
        <v>-500</v>
      </c>
      <c r="G50" s="97">
        <v>45404</v>
      </c>
      <c r="H50" s="98" t="s">
        <v>82</v>
      </c>
      <c r="I50" s="101">
        <v>2075</v>
      </c>
    </row>
    <row r="51" spans="1:10" x14ac:dyDescent="0.35">
      <c r="A51" s="4">
        <v>45307</v>
      </c>
      <c r="B51" t="s">
        <v>95</v>
      </c>
      <c r="C51" s="3" t="str">
        <f>_xlfn.XLOOKUP(Table1[[#This Row],[Category]],$H$5:$H$32,$G$5:$G$32,FALSE)</f>
        <v xml:space="preserve">Teacher </v>
      </c>
      <c r="D51" s="2" t="s">
        <v>24</v>
      </c>
      <c r="E51">
        <v>-1925</v>
      </c>
      <c r="H51" s="86" t="s">
        <v>165</v>
      </c>
      <c r="I51" s="100">
        <v>2075</v>
      </c>
      <c r="J51" s="3" t="s">
        <v>168</v>
      </c>
    </row>
    <row r="52" spans="1:10" x14ac:dyDescent="0.35">
      <c r="A52" s="4">
        <v>45308</v>
      </c>
      <c r="B52" t="s">
        <v>94</v>
      </c>
      <c r="C52" s="3" t="str">
        <f>_xlfn.XLOOKUP(Table1[[#This Row],[Category]],$H$5:$H$32,$G$5:$G$32,FALSE)</f>
        <v>District</v>
      </c>
      <c r="D52" s="2" t="s">
        <v>36</v>
      </c>
      <c r="E52">
        <v>-500</v>
      </c>
    </row>
    <row r="53" spans="1:10" x14ac:dyDescent="0.35">
      <c r="A53" s="4">
        <v>45330</v>
      </c>
      <c r="B53" s="3" t="s">
        <v>93</v>
      </c>
      <c r="C53" s="3" t="str">
        <f>_xlfn.XLOOKUP(Table1[[#This Row],[Category]],$H$5:$H$32,$G$5:$G$32,FALSE)</f>
        <v>PTO Operating</v>
      </c>
      <c r="D53" s="2" t="s">
        <v>10</v>
      </c>
      <c r="E53">
        <v>-850</v>
      </c>
      <c r="G53" s="97">
        <v>45405</v>
      </c>
      <c r="H53" s="98" t="s">
        <v>82</v>
      </c>
      <c r="I53" s="98">
        <v>759.34</v>
      </c>
      <c r="J53">
        <f>SUM(E67:E68)</f>
        <v>759.34</v>
      </c>
    </row>
    <row r="54" spans="1:10" x14ac:dyDescent="0.35">
      <c r="A54" s="4">
        <v>45331</v>
      </c>
      <c r="B54" s="3" t="s">
        <v>163</v>
      </c>
      <c r="C54" s="3" t="str">
        <f>_xlfn.XLOOKUP(Table1[[#This Row],[Category]],$H$3:$H$30,$G$3:$G$30,FALSE)</f>
        <v>Income</v>
      </c>
      <c r="D54" s="2" t="s">
        <v>35</v>
      </c>
      <c r="E54" s="103">
        <v>40.4</v>
      </c>
      <c r="H54" s="3" t="s">
        <v>166</v>
      </c>
      <c r="I54">
        <v>659.34</v>
      </c>
      <c r="J54" s="3" t="s">
        <v>168</v>
      </c>
    </row>
    <row r="55" spans="1:10" x14ac:dyDescent="0.35">
      <c r="A55" s="4">
        <v>45331</v>
      </c>
      <c r="B55" s="3" t="s">
        <v>159</v>
      </c>
      <c r="C55" s="3" t="str">
        <f>_xlfn.XLOOKUP(Table1[[#This Row],[Category]],$H$3:$H$30,$G$3:$G$30,FALSE)</f>
        <v>Income</v>
      </c>
      <c r="D55" s="2" t="s">
        <v>14</v>
      </c>
      <c r="E55" s="103">
        <v>1602.93</v>
      </c>
      <c r="H55" s="3" t="s">
        <v>167</v>
      </c>
      <c r="I55" s="100">
        <v>100</v>
      </c>
      <c r="J55" s="3" t="s">
        <v>168</v>
      </c>
    </row>
    <row r="56" spans="1:10" x14ac:dyDescent="0.35">
      <c r="A56" s="4">
        <v>45331</v>
      </c>
      <c r="B56" s="3" t="s">
        <v>164</v>
      </c>
      <c r="C56" s="3" t="str">
        <f>_xlfn.XLOOKUP(Table1[[#This Row],[Category]],$H$5:$H$32,$G$5:$G$32,FALSE)</f>
        <v>Income</v>
      </c>
      <c r="D56" s="2" t="s">
        <v>35</v>
      </c>
      <c r="E56" s="102">
        <v>3082.25</v>
      </c>
    </row>
    <row r="57" spans="1:10" x14ac:dyDescent="0.35">
      <c r="A57" s="4">
        <v>45343</v>
      </c>
      <c r="B57" t="s">
        <v>92</v>
      </c>
      <c r="C57" s="3" t="str">
        <f>_xlfn.XLOOKUP(Table1[[#This Row],[Category]],$H$5:$H$32,$G$5:$G$32,FALSE)</f>
        <v xml:space="preserve">Teacher </v>
      </c>
      <c r="D57" s="2" t="s">
        <v>7</v>
      </c>
      <c r="E57">
        <v>-58.91</v>
      </c>
      <c r="G57" s="97">
        <v>45422</v>
      </c>
      <c r="H57" s="98" t="s">
        <v>82</v>
      </c>
      <c r="I57" s="98">
        <v>2035.87</v>
      </c>
      <c r="J57">
        <f>SUM(E71:E72)</f>
        <v>2035.87</v>
      </c>
    </row>
    <row r="58" spans="1:10" x14ac:dyDescent="0.35">
      <c r="A58" s="4">
        <v>45356</v>
      </c>
      <c r="B58" t="s">
        <v>91</v>
      </c>
      <c r="C58" s="3" t="str">
        <f>_xlfn.XLOOKUP(Table1[[#This Row],[Category]],$H$5:$H$32,$G$5:$G$32,FALSE)</f>
        <v xml:space="preserve">Teacher </v>
      </c>
      <c r="D58" s="2" t="s">
        <v>8</v>
      </c>
      <c r="E58">
        <v>-306.83</v>
      </c>
      <c r="H58" s="3" t="s">
        <v>159</v>
      </c>
      <c r="I58">
        <v>1725.87</v>
      </c>
    </row>
    <row r="59" spans="1:10" x14ac:dyDescent="0.35">
      <c r="A59" s="4">
        <v>45363</v>
      </c>
      <c r="B59" t="s">
        <v>90</v>
      </c>
      <c r="C59" s="3" t="str">
        <f>_xlfn.XLOOKUP(Table1[[#This Row],[Category]],$H$5:$H$32,$G$5:$G$32,FALSE)</f>
        <v xml:space="preserve">Teacher </v>
      </c>
      <c r="D59" s="2" t="s">
        <v>7</v>
      </c>
      <c r="E59">
        <v>-62.92</v>
      </c>
      <c r="H59" s="3" t="s">
        <v>165</v>
      </c>
      <c r="I59">
        <v>310</v>
      </c>
    </row>
    <row r="60" spans="1:10" x14ac:dyDescent="0.35">
      <c r="A60" s="4">
        <v>45366</v>
      </c>
      <c r="B60" t="s">
        <v>88</v>
      </c>
      <c r="C60" s="3" t="str">
        <f>_xlfn.XLOOKUP(Table1[[#This Row],[Category]],$H$5:$H$32,$G$5:$G$32,FALSE)</f>
        <v xml:space="preserve">Teacher </v>
      </c>
      <c r="D60" s="2" t="s">
        <v>23</v>
      </c>
      <c r="E60">
        <v>-2254.06</v>
      </c>
    </row>
    <row r="61" spans="1:10" x14ac:dyDescent="0.35">
      <c r="A61" s="4">
        <v>45366</v>
      </c>
      <c r="B61" t="s">
        <v>89</v>
      </c>
      <c r="C61" s="3" t="str">
        <f>_xlfn.XLOOKUP(Table1[[#This Row],[Category]],$H$5:$H$32,$G$5:$G$32,FALSE)</f>
        <v xml:space="preserve">Teacher </v>
      </c>
      <c r="D61" s="2" t="s">
        <v>7</v>
      </c>
      <c r="E61">
        <v>-27.81</v>
      </c>
      <c r="F61" s="5"/>
      <c r="G61" s="5"/>
    </row>
    <row r="62" spans="1:10" x14ac:dyDescent="0.35">
      <c r="A62" s="4">
        <v>45391</v>
      </c>
      <c r="B62" t="s">
        <v>87</v>
      </c>
      <c r="C62" s="3" t="str">
        <f>_xlfn.XLOOKUP(Table1[[#This Row],[Category]],$H$5:$H$32,$G$5:$G$32,FALSE)</f>
        <v>Income</v>
      </c>
      <c r="D62" s="2" t="s">
        <v>35</v>
      </c>
      <c r="E62">
        <v>10</v>
      </c>
      <c r="F62" s="5"/>
      <c r="G62" s="5"/>
    </row>
    <row r="63" spans="1:10" x14ac:dyDescent="0.35">
      <c r="A63" s="4">
        <v>45394</v>
      </c>
      <c r="B63" t="s">
        <v>86</v>
      </c>
      <c r="C63" s="3" t="str">
        <f>_xlfn.XLOOKUP(Table1[[#This Row],[Category]],$H$5:$H$32,$G$5:$G$32,FALSE)</f>
        <v>Newton Initiatives</v>
      </c>
      <c r="D63" s="2" t="s">
        <v>148</v>
      </c>
      <c r="E63">
        <v>-10000</v>
      </c>
    </row>
    <row r="64" spans="1:10" x14ac:dyDescent="0.35">
      <c r="A64" s="4">
        <v>45397</v>
      </c>
      <c r="B64" t="s">
        <v>85</v>
      </c>
      <c r="C64" s="3" t="str">
        <f>_xlfn.XLOOKUP(Table1[[#This Row],[Category]],$H$5:$H$32,$G$5:$G$32,FALSE)</f>
        <v>PTO Operating</v>
      </c>
      <c r="D64" s="2" t="s">
        <v>18</v>
      </c>
      <c r="E64">
        <v>-320</v>
      </c>
    </row>
    <row r="65" spans="1:5" x14ac:dyDescent="0.35">
      <c r="A65" s="4">
        <v>45404</v>
      </c>
      <c r="B65" s="3" t="s">
        <v>169</v>
      </c>
      <c r="C65" s="3" t="str">
        <f>_xlfn.XLOOKUP(Table1[[#This Row],[Category]],$H$5:$H$32,$G$5:$G$32,FALSE)</f>
        <v>Income</v>
      </c>
      <c r="D65" s="2" t="s">
        <v>12</v>
      </c>
      <c r="E65">
        <v>2075</v>
      </c>
    </row>
    <row r="66" spans="1:5" x14ac:dyDescent="0.35">
      <c r="A66" s="4">
        <v>45404</v>
      </c>
      <c r="B66" t="s">
        <v>84</v>
      </c>
      <c r="C66" s="3" t="str">
        <f>_xlfn.XLOOKUP(Table1[[#This Row],[Category]],$H$5:$H$32,$G$5:$G$32,FALSE)</f>
        <v>Income</v>
      </c>
      <c r="D66" s="2" t="s">
        <v>12</v>
      </c>
      <c r="E66">
        <v>12123.26</v>
      </c>
    </row>
    <row r="67" spans="1:5" x14ac:dyDescent="0.35">
      <c r="A67" s="4">
        <v>45405</v>
      </c>
      <c r="B67" s="3" t="s">
        <v>166</v>
      </c>
      <c r="C67" s="3" t="str">
        <f>_xlfn.XLOOKUP(Table1[[#This Row],[Category]],$H$3:$H$30,$G$3:$G$30,FALSE)</f>
        <v>Income</v>
      </c>
      <c r="D67" s="2" t="s">
        <v>13</v>
      </c>
      <c r="E67" s="103">
        <v>659.34</v>
      </c>
    </row>
    <row r="68" spans="1:5" x14ac:dyDescent="0.35">
      <c r="A68" s="4">
        <v>45405</v>
      </c>
      <c r="B68" s="3" t="s">
        <v>167</v>
      </c>
      <c r="C68" s="3" t="str">
        <f>_xlfn.XLOOKUP(Table1[[#This Row],[Category]],$H$5:$H$32,$G$5:$G$32,FALSE)</f>
        <v>Income</v>
      </c>
      <c r="D68" s="2" t="s">
        <v>13</v>
      </c>
      <c r="E68">
        <v>100</v>
      </c>
    </row>
    <row r="69" spans="1:5" x14ac:dyDescent="0.35">
      <c r="A69" s="4">
        <v>45415</v>
      </c>
      <c r="B69" t="s">
        <v>83</v>
      </c>
      <c r="C69" s="3" t="str">
        <f>_xlfn.XLOOKUP(Table1[[#This Row],[Category]],$H$5:$H$32,$G$5:$G$32,FALSE)</f>
        <v>Newton Initiatives</v>
      </c>
      <c r="D69" s="2" t="s">
        <v>41</v>
      </c>
      <c r="E69">
        <v>-1163.99</v>
      </c>
    </row>
    <row r="70" spans="1:5" x14ac:dyDescent="0.35">
      <c r="A70" s="4">
        <v>45422</v>
      </c>
      <c r="B70" t="s">
        <v>81</v>
      </c>
      <c r="C70" s="3" t="str">
        <f>_xlfn.XLOOKUP(Table1[[#This Row],[Category]],$H$5:$H$32,$G$5:$G$32,FALSE)</f>
        <v xml:space="preserve">Teacher </v>
      </c>
      <c r="D70" s="2" t="s">
        <v>8</v>
      </c>
      <c r="E70">
        <v>-750.64</v>
      </c>
    </row>
    <row r="71" spans="1:5" x14ac:dyDescent="0.35">
      <c r="A71" s="4">
        <v>45422</v>
      </c>
      <c r="B71" s="3" t="s">
        <v>159</v>
      </c>
      <c r="C71" s="3" t="str">
        <f>_xlfn.XLOOKUP(Table1[[#This Row],[Category]],$H$3:$H$30,$G$3:$G$30,FALSE)</f>
        <v>Income</v>
      </c>
      <c r="D71" s="2" t="s">
        <v>14</v>
      </c>
      <c r="E71" s="103">
        <v>1725.87</v>
      </c>
    </row>
    <row r="72" spans="1:5" x14ac:dyDescent="0.35">
      <c r="A72" s="4">
        <v>45422</v>
      </c>
      <c r="B72" s="3" t="s">
        <v>169</v>
      </c>
      <c r="C72" s="3" t="str">
        <f>_xlfn.XLOOKUP(Table1[[#This Row],[Category]],$H$5:$H$32,$G$5:$G$32,FALSE)</f>
        <v>Income</v>
      </c>
      <c r="D72" s="2" t="s">
        <v>12</v>
      </c>
      <c r="E72">
        <v>310</v>
      </c>
    </row>
    <row r="73" spans="1:5" x14ac:dyDescent="0.35">
      <c r="A73" s="4">
        <v>45425</v>
      </c>
      <c r="B73" t="s">
        <v>78</v>
      </c>
      <c r="C73" s="3" t="str">
        <f>_xlfn.XLOOKUP(Table1[[#This Row],[Category]],$H$5:$H$32,$G$5:$G$32,FALSE)</f>
        <v>Student</v>
      </c>
      <c r="D73" s="2" t="s">
        <v>25</v>
      </c>
      <c r="E73">
        <v>-149.1</v>
      </c>
    </row>
    <row r="74" spans="1:5" x14ac:dyDescent="0.35">
      <c r="A74" s="4">
        <v>45425</v>
      </c>
      <c r="B74" t="s">
        <v>79</v>
      </c>
      <c r="C74" s="3" t="str">
        <f>_xlfn.XLOOKUP(Table1[[#This Row],[Category]],$H$5:$H$32,$G$5:$G$32,FALSE)</f>
        <v xml:space="preserve">Teacher </v>
      </c>
      <c r="D74" s="2" t="s">
        <v>7</v>
      </c>
      <c r="E74">
        <v>-80.91</v>
      </c>
    </row>
    <row r="75" spans="1:5" x14ac:dyDescent="0.35">
      <c r="A75" s="4">
        <v>45425</v>
      </c>
      <c r="B75" t="s">
        <v>80</v>
      </c>
      <c r="C75" s="3" t="str">
        <f>_xlfn.XLOOKUP(Table1[[#This Row],[Category]],$H$5:$H$32,$G$5:$G$32,FALSE)</f>
        <v xml:space="preserve">Teacher </v>
      </c>
      <c r="D75" s="2" t="s">
        <v>7</v>
      </c>
      <c r="E75">
        <v>-37.06</v>
      </c>
    </row>
    <row r="76" spans="1:5" x14ac:dyDescent="0.35">
      <c r="A76" s="4">
        <v>45429</v>
      </c>
      <c r="B76" t="s">
        <v>77</v>
      </c>
      <c r="C76" s="3" t="str">
        <f>_xlfn.XLOOKUP(Table1[[#This Row],[Category]],$H$5:$H$32,$G$5:$G$32,FALSE)</f>
        <v xml:space="preserve">Teacher </v>
      </c>
      <c r="D76" s="2" t="s">
        <v>7</v>
      </c>
      <c r="E76">
        <v>-37.869999999999997</v>
      </c>
    </row>
    <row r="77" spans="1:5" x14ac:dyDescent="0.35">
      <c r="A77" s="4">
        <v>45432</v>
      </c>
      <c r="B77" t="s">
        <v>76</v>
      </c>
      <c r="C77" s="3" t="str">
        <f>_xlfn.XLOOKUP(Table1[[#This Row],[Category]],$H$5:$H$32,$G$5:$G$32,FALSE)</f>
        <v xml:space="preserve">Teacher </v>
      </c>
      <c r="D77" s="2" t="s">
        <v>7</v>
      </c>
      <c r="E77">
        <v>-72.42</v>
      </c>
    </row>
    <row r="78" spans="1:5" x14ac:dyDescent="0.35">
      <c r="A78" s="4">
        <v>45434</v>
      </c>
      <c r="B78" t="s">
        <v>74</v>
      </c>
      <c r="C78" s="3" t="str">
        <f>_xlfn.XLOOKUP(Table1[[#This Row],[Category]],$H$5:$H$32,$G$5:$G$32,FALSE)</f>
        <v>Student</v>
      </c>
      <c r="D78" s="2" t="s">
        <v>37</v>
      </c>
      <c r="E78">
        <v>-1600</v>
      </c>
    </row>
    <row r="79" spans="1:5" x14ac:dyDescent="0.35">
      <c r="A79" s="4">
        <v>45434</v>
      </c>
      <c r="B79" t="s">
        <v>75</v>
      </c>
      <c r="C79" s="3" t="str">
        <f>_xlfn.XLOOKUP(Table1[[#This Row],[Category]],$H$5:$H$32,$G$5:$G$32,FALSE)</f>
        <v xml:space="preserve">Teacher </v>
      </c>
      <c r="D79" s="2" t="s">
        <v>7</v>
      </c>
      <c r="E79">
        <v>-25</v>
      </c>
    </row>
    <row r="80" spans="1:5" x14ac:dyDescent="0.35">
      <c r="A80" s="4">
        <v>45440</v>
      </c>
      <c r="B80" t="s">
        <v>73</v>
      </c>
      <c r="C80" s="3" t="str">
        <f>_xlfn.XLOOKUP(Table1[[#This Row],[Category]],$H$5:$H$32,$G$5:$G$32,FALSE)</f>
        <v xml:space="preserve">Teacher </v>
      </c>
      <c r="D80" s="2" t="s">
        <v>8</v>
      </c>
      <c r="E80">
        <v>-860.93</v>
      </c>
    </row>
    <row r="81" spans="1:5" x14ac:dyDescent="0.35">
      <c r="A81" s="4">
        <v>45441</v>
      </c>
      <c r="B81" t="s">
        <v>70</v>
      </c>
      <c r="C81" s="3" t="str">
        <f>_xlfn.XLOOKUP(Table1[[#This Row],[Category]],$H$5:$H$32,$G$5:$G$32,FALSE)</f>
        <v>Newton Initiatives</v>
      </c>
      <c r="D81" s="2" t="s">
        <v>148</v>
      </c>
      <c r="E81">
        <v>-12000</v>
      </c>
    </row>
    <row r="82" spans="1:5" x14ac:dyDescent="0.35">
      <c r="A82" s="4">
        <v>45441</v>
      </c>
      <c r="B82" t="s">
        <v>71</v>
      </c>
      <c r="C82" s="3" t="str">
        <f>_xlfn.XLOOKUP(Table1[[#This Row],[Category]],$H$5:$H$32,$G$5:$G$32,FALSE)</f>
        <v xml:space="preserve">Teacher </v>
      </c>
      <c r="D82" s="2" t="s">
        <v>8</v>
      </c>
      <c r="E82">
        <v>-3525.25</v>
      </c>
    </row>
    <row r="83" spans="1:5" x14ac:dyDescent="0.35">
      <c r="A83" s="4">
        <v>45441</v>
      </c>
      <c r="B83" t="s">
        <v>72</v>
      </c>
      <c r="C83" s="3" t="str">
        <f>_xlfn.XLOOKUP(Table1[[#This Row],[Category]],$H$5:$H$32,$G$5:$G$32,FALSE)</f>
        <v xml:space="preserve">Teacher </v>
      </c>
      <c r="D83" s="2" t="s">
        <v>7</v>
      </c>
      <c r="E83">
        <v>-46.7</v>
      </c>
    </row>
    <row r="84" spans="1:5" x14ac:dyDescent="0.35">
      <c r="A84" s="4">
        <v>45442</v>
      </c>
      <c r="B84" t="s">
        <v>69</v>
      </c>
      <c r="C84" s="3" t="str">
        <f>_xlfn.XLOOKUP(Table1[[#This Row],[Category]],$H$5:$H$32,$G$5:$G$32,FALSE)</f>
        <v>Student</v>
      </c>
      <c r="D84" s="2" t="s">
        <v>37</v>
      </c>
      <c r="E84">
        <v>-100</v>
      </c>
    </row>
    <row r="85" spans="1:5" x14ac:dyDescent="0.35">
      <c r="A85" s="4">
        <v>45449</v>
      </c>
      <c r="B85" t="s">
        <v>68</v>
      </c>
      <c r="C85" s="3" t="str">
        <f>_xlfn.XLOOKUP(Table1[[#This Row],[Category]],$H$5:$H$32,$G$5:$G$32,FALSE)</f>
        <v>Student</v>
      </c>
      <c r="D85" s="2" t="s">
        <v>37</v>
      </c>
      <c r="E85">
        <v>-1172.23</v>
      </c>
    </row>
    <row r="86" spans="1:5" x14ac:dyDescent="0.35">
      <c r="A86" s="4">
        <v>45457</v>
      </c>
      <c r="B86" t="s">
        <v>67</v>
      </c>
      <c r="C86" s="3" t="str">
        <f>_xlfn.XLOOKUP(Table1[[#This Row],[Category]],$H$5:$H$32,$G$5:$G$32,FALSE)</f>
        <v xml:space="preserve">Teacher </v>
      </c>
      <c r="D86" s="2" t="s">
        <v>7</v>
      </c>
      <c r="E86">
        <v>-60.54</v>
      </c>
    </row>
    <row r="87" spans="1:5" x14ac:dyDescent="0.35">
      <c r="A87" s="4">
        <v>45481</v>
      </c>
      <c r="B87" s="2" t="s">
        <v>143</v>
      </c>
      <c r="C87" s="3" t="str">
        <f>_xlfn.XLOOKUP(Table1[[#This Row],[Category]],$H$3:$H$30,$G$3:$G$30,FALSE)</f>
        <v xml:space="preserve">Teacher </v>
      </c>
      <c r="D87" s="2" t="s">
        <v>27</v>
      </c>
      <c r="E87" s="87">
        <v>-251.51</v>
      </c>
    </row>
    <row r="88" spans="1:5" x14ac:dyDescent="0.35">
      <c r="A88" s="4">
        <v>45483</v>
      </c>
      <c r="B88" s="86" t="s">
        <v>142</v>
      </c>
      <c r="C88" s="3" t="str">
        <f>_xlfn.XLOOKUP(Table1[[#This Row],[Category]],$H$4:$H$31,$G$4:$G$31,FALSE)</f>
        <v xml:space="preserve">Teacher </v>
      </c>
      <c r="D88" s="2" t="s">
        <v>7</v>
      </c>
      <c r="E88" s="87">
        <v>-100</v>
      </c>
    </row>
    <row r="89" spans="1:5" x14ac:dyDescent="0.35">
      <c r="A89" s="4"/>
    </row>
  </sheetData>
  <dataValidations count="2">
    <dataValidation type="list" allowBlank="1" showInputMessage="1" showErrorMessage="1" sqref="D4:D5" xr:uid="{6652FD49-E8BC-4E7B-A4EC-BB5F30A4E016}">
      <formula1>$H$5:$H$32</formula1>
    </dataValidation>
    <dataValidation type="list" allowBlank="1" showInputMessage="1" showErrorMessage="1" sqref="D1:D3 D6:D88" xr:uid="{A42D2BD1-7CC2-49AD-A241-7B5A984895FA}">
      <formula1>$H$5:$H$36</formula1>
    </dataValidation>
  </dataValidations>
  <pageMargins left="0.75" right="0.75" top="1" bottom="1" header="0.5" footer="0.5"/>
  <pageSetup orientation="portrait" horizontalDpi="0" verticalDpi="0" r:id="rId1"/>
  <ignoredErrors>
    <ignoredError sqref="F44:F47 F18:F20 F17" numberStoredAsText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6C54-9729-4AED-897F-B4038A8D26CF}">
  <sheetPr codeName="Sheet5"/>
  <dimension ref="A1:F39"/>
  <sheetViews>
    <sheetView workbookViewId="0">
      <selection activeCell="D43" sqref="D43"/>
    </sheetView>
  </sheetViews>
  <sheetFormatPr defaultRowHeight="15.5" x14ac:dyDescent="0.35"/>
  <cols>
    <col min="1" max="1" width="21.07421875" customWidth="1"/>
    <col min="2" max="3" width="28.61328125" customWidth="1"/>
    <col min="4" max="4" width="41" customWidth="1"/>
    <col min="6" max="6" width="36.61328125" customWidth="1"/>
  </cols>
  <sheetData>
    <row r="1" spans="1:6" x14ac:dyDescent="0.35">
      <c r="A1" s="109" t="s">
        <v>221</v>
      </c>
      <c r="F1" s="109" t="s">
        <v>206</v>
      </c>
    </row>
    <row r="2" spans="1:6" x14ac:dyDescent="0.35">
      <c r="A2" s="109" t="s">
        <v>198</v>
      </c>
      <c r="B2" s="109" t="s">
        <v>199</v>
      </c>
      <c r="C2" s="109" t="s">
        <v>206</v>
      </c>
      <c r="D2" s="109" t="s">
        <v>219</v>
      </c>
      <c r="F2" s="109" t="s">
        <v>207</v>
      </c>
    </row>
    <row r="3" spans="1:6" x14ac:dyDescent="0.35">
      <c r="A3" t="s">
        <v>44</v>
      </c>
      <c r="B3" t="s">
        <v>205</v>
      </c>
      <c r="C3" t="s">
        <v>205</v>
      </c>
      <c r="D3" t="s">
        <v>5</v>
      </c>
      <c r="F3" t="s">
        <v>200</v>
      </c>
    </row>
    <row r="4" spans="1:6" x14ac:dyDescent="0.35">
      <c r="A4" t="s">
        <v>44</v>
      </c>
      <c r="B4" t="s">
        <v>205</v>
      </c>
      <c r="C4" t="s">
        <v>205</v>
      </c>
      <c r="D4" t="s">
        <v>12</v>
      </c>
      <c r="F4" t="s">
        <v>201</v>
      </c>
    </row>
    <row r="5" spans="1:6" x14ac:dyDescent="0.35">
      <c r="A5" t="s">
        <v>44</v>
      </c>
      <c r="B5" t="s">
        <v>205</v>
      </c>
      <c r="C5" t="s">
        <v>205</v>
      </c>
      <c r="D5" t="s">
        <v>13</v>
      </c>
      <c r="F5" t="s">
        <v>202</v>
      </c>
    </row>
    <row r="6" spans="1:6" x14ac:dyDescent="0.35">
      <c r="A6" t="s">
        <v>44</v>
      </c>
      <c r="B6" t="s">
        <v>205</v>
      </c>
      <c r="C6" t="s">
        <v>205</v>
      </c>
      <c r="D6" t="s">
        <v>14</v>
      </c>
      <c r="F6" t="s">
        <v>203</v>
      </c>
    </row>
    <row r="7" spans="1:6" x14ac:dyDescent="0.35">
      <c r="A7" t="s">
        <v>44</v>
      </c>
      <c r="B7" t="s">
        <v>200</v>
      </c>
      <c r="C7" t="s">
        <v>200</v>
      </c>
      <c r="D7" t="s">
        <v>35</v>
      </c>
      <c r="F7" t="s">
        <v>204</v>
      </c>
    </row>
    <row r="8" spans="1:6" x14ac:dyDescent="0.35">
      <c r="A8" s="3" t="s">
        <v>44</v>
      </c>
      <c r="B8" t="s">
        <v>200</v>
      </c>
      <c r="C8" t="s">
        <v>200</v>
      </c>
      <c r="D8" s="3" t="s">
        <v>195</v>
      </c>
      <c r="F8" t="s">
        <v>205</v>
      </c>
    </row>
    <row r="9" spans="1:6" x14ac:dyDescent="0.35">
      <c r="A9" s="3" t="s">
        <v>44</v>
      </c>
      <c r="B9" t="s">
        <v>203</v>
      </c>
      <c r="C9" t="s">
        <v>203</v>
      </c>
      <c r="D9" t="s">
        <v>35</v>
      </c>
    </row>
    <row r="10" spans="1:6" x14ac:dyDescent="0.35">
      <c r="F10" s="109" t="s">
        <v>208</v>
      </c>
    </row>
    <row r="11" spans="1:6" x14ac:dyDescent="0.35">
      <c r="A11" s="109" t="s">
        <v>16</v>
      </c>
      <c r="F11" s="3" t="s">
        <v>209</v>
      </c>
    </row>
    <row r="12" spans="1:6" x14ac:dyDescent="0.35">
      <c r="A12" s="109" t="s">
        <v>198</v>
      </c>
      <c r="B12" s="109" t="s">
        <v>199</v>
      </c>
      <c r="C12" s="109" t="s">
        <v>206</v>
      </c>
      <c r="D12" s="109" t="s">
        <v>219</v>
      </c>
      <c r="F12" s="3" t="s">
        <v>217</v>
      </c>
    </row>
    <row r="13" spans="1:6" x14ac:dyDescent="0.35">
      <c r="A13" t="s">
        <v>6</v>
      </c>
      <c r="B13" s="3" t="s">
        <v>218</v>
      </c>
      <c r="C13" s="3" t="s">
        <v>218</v>
      </c>
      <c r="D13" t="s">
        <v>9</v>
      </c>
      <c r="F13" s="3" t="s">
        <v>210</v>
      </c>
    </row>
    <row r="14" spans="1:6" x14ac:dyDescent="0.35">
      <c r="A14" t="s">
        <v>6</v>
      </c>
      <c r="B14" s="3" t="s">
        <v>210</v>
      </c>
      <c r="C14" s="3" t="s">
        <v>210</v>
      </c>
      <c r="D14" t="s">
        <v>10</v>
      </c>
      <c r="F14" s="3" t="s">
        <v>197</v>
      </c>
    </row>
    <row r="15" spans="1:6" x14ac:dyDescent="0.35">
      <c r="A15" t="s">
        <v>6</v>
      </c>
      <c r="B15" s="3" t="s">
        <v>212</v>
      </c>
      <c r="C15" s="3" t="s">
        <v>212</v>
      </c>
      <c r="D15" t="s">
        <v>43</v>
      </c>
      <c r="F15" s="3" t="s">
        <v>211</v>
      </c>
    </row>
    <row r="16" spans="1:6" x14ac:dyDescent="0.35">
      <c r="A16" t="s">
        <v>6</v>
      </c>
      <c r="B16" s="3" t="s">
        <v>216</v>
      </c>
      <c r="C16" s="3" t="s">
        <v>211</v>
      </c>
      <c r="D16" t="s">
        <v>176</v>
      </c>
      <c r="F16" s="3" t="s">
        <v>212</v>
      </c>
    </row>
    <row r="17" spans="1:6" x14ac:dyDescent="0.35">
      <c r="A17" t="s">
        <v>6</v>
      </c>
      <c r="D17" s="3" t="s">
        <v>64</v>
      </c>
      <c r="F17" s="3" t="s">
        <v>213</v>
      </c>
    </row>
    <row r="18" spans="1:6" x14ac:dyDescent="0.35">
      <c r="A18" t="s">
        <v>6</v>
      </c>
      <c r="B18" s="3" t="s">
        <v>212</v>
      </c>
      <c r="C18" s="3" t="s">
        <v>212</v>
      </c>
      <c r="D18" t="s">
        <v>20</v>
      </c>
      <c r="F18" s="3" t="s">
        <v>214</v>
      </c>
    </row>
    <row r="19" spans="1:6" x14ac:dyDescent="0.35">
      <c r="A19" t="s">
        <v>6</v>
      </c>
      <c r="D19" t="s">
        <v>21</v>
      </c>
      <c r="F19" s="3" t="s">
        <v>215</v>
      </c>
    </row>
    <row r="20" spans="1:6" x14ac:dyDescent="0.35">
      <c r="A20" t="s">
        <v>6</v>
      </c>
      <c r="B20" s="3" t="s">
        <v>197</v>
      </c>
      <c r="C20" s="3" t="s">
        <v>197</v>
      </c>
      <c r="D20" t="s">
        <v>197</v>
      </c>
      <c r="F20" s="3" t="s">
        <v>216</v>
      </c>
    </row>
    <row r="21" spans="1:6" x14ac:dyDescent="0.35">
      <c r="A21" t="s">
        <v>22</v>
      </c>
      <c r="B21" s="3" t="s">
        <v>22</v>
      </c>
      <c r="C21" s="3" t="s">
        <v>209</v>
      </c>
      <c r="D21" s="3" t="s">
        <v>149</v>
      </c>
      <c r="F21" s="3" t="s">
        <v>218</v>
      </c>
    </row>
    <row r="22" spans="1:6" x14ac:dyDescent="0.35">
      <c r="A22" t="s">
        <v>22</v>
      </c>
      <c r="B22" s="3" t="s">
        <v>22</v>
      </c>
      <c r="C22" s="3" t="s">
        <v>209</v>
      </c>
      <c r="D22" s="3" t="s">
        <v>150</v>
      </c>
    </row>
    <row r="23" spans="1:6" x14ac:dyDescent="0.35">
      <c r="A23" t="s">
        <v>22</v>
      </c>
      <c r="B23" s="3" t="s">
        <v>22</v>
      </c>
      <c r="C23" s="3" t="s">
        <v>209</v>
      </c>
      <c r="D23" t="s">
        <v>41</v>
      </c>
    </row>
    <row r="24" spans="1:6" x14ac:dyDescent="0.35">
      <c r="A24" s="3" t="s">
        <v>66</v>
      </c>
      <c r="B24" s="3" t="s">
        <v>8</v>
      </c>
      <c r="C24" s="3" t="s">
        <v>209</v>
      </c>
      <c r="D24" t="s">
        <v>8</v>
      </c>
    </row>
    <row r="25" spans="1:6" x14ac:dyDescent="0.35">
      <c r="A25" s="3" t="s">
        <v>66</v>
      </c>
      <c r="B25" s="3" t="s">
        <v>8</v>
      </c>
      <c r="C25" s="3" t="s">
        <v>209</v>
      </c>
      <c r="D25" t="s">
        <v>7</v>
      </c>
    </row>
    <row r="26" spans="1:6" x14ac:dyDescent="0.35">
      <c r="A26" s="3" t="s">
        <v>66</v>
      </c>
      <c r="B26" s="3" t="s">
        <v>209</v>
      </c>
      <c r="C26" s="3" t="s">
        <v>209</v>
      </c>
      <c r="D26" t="s">
        <v>23</v>
      </c>
    </row>
    <row r="27" spans="1:6" x14ac:dyDescent="0.35">
      <c r="A27" s="3" t="s">
        <v>66</v>
      </c>
      <c r="B27" s="3" t="s">
        <v>22</v>
      </c>
      <c r="C27" s="3" t="s">
        <v>209</v>
      </c>
      <c r="D27" t="s">
        <v>24</v>
      </c>
    </row>
    <row r="28" spans="1:6" x14ac:dyDescent="0.35">
      <c r="A28" s="3" t="s">
        <v>66</v>
      </c>
      <c r="B28" s="3" t="s">
        <v>8</v>
      </c>
      <c r="C28" s="3" t="s">
        <v>209</v>
      </c>
      <c r="D28" t="s">
        <v>27</v>
      </c>
    </row>
    <row r="29" spans="1:6" x14ac:dyDescent="0.35">
      <c r="A29" t="s">
        <v>51</v>
      </c>
      <c r="B29" s="3" t="s">
        <v>220</v>
      </c>
      <c r="C29" s="3" t="s">
        <v>217</v>
      </c>
      <c r="D29" t="s">
        <v>25</v>
      </c>
    </row>
    <row r="30" spans="1:6" x14ac:dyDescent="0.35">
      <c r="A30" t="s">
        <v>51</v>
      </c>
      <c r="B30" s="3" t="s">
        <v>217</v>
      </c>
      <c r="C30" s="3" t="s">
        <v>217</v>
      </c>
      <c r="D30" t="s">
        <v>26</v>
      </c>
    </row>
    <row r="31" spans="1:6" x14ac:dyDescent="0.35">
      <c r="A31" t="s">
        <v>51</v>
      </c>
      <c r="B31" s="3" t="s">
        <v>217</v>
      </c>
      <c r="C31" s="3" t="s">
        <v>217</v>
      </c>
      <c r="D31" t="s">
        <v>39</v>
      </c>
    </row>
    <row r="32" spans="1:6" x14ac:dyDescent="0.35">
      <c r="A32" t="s">
        <v>51</v>
      </c>
      <c r="B32" s="3" t="s">
        <v>217</v>
      </c>
      <c r="C32" s="3" t="s">
        <v>217</v>
      </c>
      <c r="D32" t="s">
        <v>37</v>
      </c>
    </row>
    <row r="33" spans="1:6" x14ac:dyDescent="0.35">
      <c r="A33" s="3" t="s">
        <v>51</v>
      </c>
      <c r="B33" s="3" t="s">
        <v>220</v>
      </c>
      <c r="C33" s="3" t="s">
        <v>217</v>
      </c>
      <c r="D33" s="3" t="s">
        <v>39</v>
      </c>
    </row>
    <row r="34" spans="1:6" x14ac:dyDescent="0.35">
      <c r="A34" t="s">
        <v>46</v>
      </c>
      <c r="B34" s="3" t="s">
        <v>209</v>
      </c>
      <c r="C34" s="3" t="s">
        <v>209</v>
      </c>
      <c r="D34" t="s">
        <v>36</v>
      </c>
    </row>
    <row r="35" spans="1:6" x14ac:dyDescent="0.35">
      <c r="A35" t="s">
        <v>46</v>
      </c>
      <c r="B35" s="3" t="s">
        <v>209</v>
      </c>
      <c r="C35" s="3" t="s">
        <v>209</v>
      </c>
      <c r="D35" t="s">
        <v>29</v>
      </c>
      <c r="F35" s="3" t="s">
        <v>191</v>
      </c>
    </row>
    <row r="36" spans="1:6" x14ac:dyDescent="0.35">
      <c r="A36" t="s">
        <v>46</v>
      </c>
      <c r="B36" s="3" t="s">
        <v>209</v>
      </c>
      <c r="C36" s="3" t="s">
        <v>209</v>
      </c>
      <c r="D36" t="s">
        <v>30</v>
      </c>
    </row>
    <row r="37" spans="1:6" x14ac:dyDescent="0.35">
      <c r="A37" t="s">
        <v>46</v>
      </c>
      <c r="B37" s="3" t="s">
        <v>209</v>
      </c>
      <c r="C37" s="3" t="s">
        <v>209</v>
      </c>
      <c r="D37" t="s">
        <v>31</v>
      </c>
    </row>
    <row r="39" spans="1:6" x14ac:dyDescent="0.35">
      <c r="B39" s="3" t="s">
        <v>191</v>
      </c>
      <c r="C3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3 s K W S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z 3 s K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9 7 C l k o i k e 4 D g A A A B E A A A A T A B w A R m 9 y b X V s Y X M v U 2 V j d G l v b j E u b S C i G A A o o B Q A A A A A A A A A A A A A A A A A A A A A A A A A A A A r T k 0 u y c z P U w i G 0 I b W A F B L A Q I t A B Q A A g A I A M 9 7 C l k t 3 t E W p A A A A P Y A A A A S A A A A A A A A A A A A A A A A A A A A A A B D b 2 5 m a W c v U G F j a 2 F n Z S 5 4 b W x Q S w E C L Q A U A A I A C A D P e w p Z D 8 r p q 6 Q A A A D p A A A A E w A A A A A A A A A A A A A A A A D w A A A A W 0 N v b n R l b n R f V H l w Z X N d L n h t b F B L A Q I t A B Q A A g A I A M 9 7 C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+ r 6 b i R n I m S 4 g Y C I B s e 5 V l A A A A A A I A A A A A A B B m A A A A A Q A A I A A A A K i X V 0 Z B N e u 2 X q 6 N c I O 1 q G C j q 7 O U K o U T J L G 1 c D V u e x X c A A A A A A 6 A A A A A A g A A I A A A A F 2 b P e u 4 9 9 R b x j 2 k v E w y W C I k 0 A r r 7 E J z T I q U n u 0 Q X 5 H e U A A A A D C H o a J h 1 a F X R q 9 / 9 r m O b N z 5 y 1 2 q R l 6 v F q V v s c m W 9 U B S T x K K 0 w J s K U q n e b v T i E 9 G i 4 T c R x b x Q x X c z S R a i T s z 8 0 O Z B 8 M M 5 K n A i u Z E L Z K P A X v X Q A A A A B / r C A m g D j W O p o Y Q N 1 W Z d Z r 2 3 X a 8 k Y r + h A + F t T N q 5 G l U G q w k g i H a X 0 X 2 5 X c 3 g D T 1 8 / W s C b O / q d Q R J I v k i 8 i u t 8 E = < / D a t a M a s h u p > 
</file>

<file path=customXml/itemProps1.xml><?xml version="1.0" encoding="utf-8"?>
<ds:datastoreItem xmlns:ds="http://schemas.openxmlformats.org/officeDocument/2006/customXml" ds:itemID="{D4354745-48FC-4A25-8E54-5772E8E502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25-26 Budget &amp; Spending</vt:lpstr>
      <vt:lpstr>25-26 Accounting</vt:lpstr>
      <vt:lpstr>24-25 Budget &amp; Spending</vt:lpstr>
      <vt:lpstr>24-25 Accounting</vt:lpstr>
      <vt:lpstr>23-24 Budget &amp; Spending</vt:lpstr>
      <vt:lpstr>23-24 Accounting</vt:lpstr>
      <vt:lpstr>990 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Folkestad</dc:creator>
  <cp:lastModifiedBy>Amy Folkestad</cp:lastModifiedBy>
  <dcterms:created xsi:type="dcterms:W3CDTF">2024-03-21T19:34:50Z</dcterms:created>
  <dcterms:modified xsi:type="dcterms:W3CDTF">2025-05-19T03:19:25Z</dcterms:modified>
</cp:coreProperties>
</file>